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D087" lockStructure="1"/>
  <bookViews>
    <workbookView xWindow="360" yWindow="135" windowWidth="18120" windowHeight="12120"/>
  </bookViews>
  <sheets>
    <sheet name="Stappen" sheetId="20" r:id="rId1"/>
    <sheet name="Referentieproject" sheetId="22" r:id="rId2"/>
    <sheet name="Kostengegevens" sheetId="23" r:id="rId3"/>
  </sheets>
  <definedNames>
    <definedName name="_xlnm._FilterDatabase" localSheetId="0" hidden="1">Stappen!$AB$113:$BE$179</definedName>
    <definedName name="_xlnm.Print_Area" localSheetId="1">Referentieproject!$C$1:$O$265</definedName>
    <definedName name="_xlnm.Print_Area" localSheetId="0">Stappen!$C$1:$O$265</definedName>
    <definedName name="_xlnm.Print_Titles" localSheetId="1">Referentieproject!$1:$3</definedName>
    <definedName name="_xlnm.Print_Titles" localSheetId="0">Stappen!$1:$3</definedName>
  </definedNames>
  <calcPr calcId="145621"/>
</workbook>
</file>

<file path=xl/calcChain.xml><?xml version="1.0" encoding="utf-8"?>
<calcChain xmlns="http://schemas.openxmlformats.org/spreadsheetml/2006/main">
  <c r="G182" i="20" l="1"/>
  <c r="F72" i="20"/>
  <c r="F71" i="20"/>
  <c r="F70" i="20"/>
  <c r="F69" i="20"/>
  <c r="F67" i="20"/>
  <c r="F66" i="20"/>
  <c r="F65" i="20"/>
  <c r="F64" i="20"/>
  <c r="F47" i="20"/>
  <c r="F182" i="20" s="1"/>
  <c r="AP51" i="23"/>
  <c r="BO118" i="20"/>
  <c r="CV182" i="20"/>
  <c r="CV177" i="20"/>
  <c r="CU177" i="20"/>
  <c r="CV174" i="20"/>
  <c r="CU174" i="20"/>
  <c r="CV171" i="20"/>
  <c r="CU171" i="20"/>
  <c r="CV168" i="20"/>
  <c r="CU168" i="20"/>
  <c r="CV166" i="20"/>
  <c r="CU166" i="20"/>
  <c r="CV165" i="20"/>
  <c r="CU165" i="20"/>
  <c r="CV164" i="20"/>
  <c r="CU164" i="20"/>
  <c r="CV163" i="20"/>
  <c r="CU163" i="20"/>
  <c r="CV162" i="20"/>
  <c r="CU162" i="20"/>
  <c r="CV161" i="20"/>
  <c r="CU161" i="20"/>
  <c r="CV159" i="20"/>
  <c r="CU159" i="20"/>
  <c r="CV158" i="20"/>
  <c r="CU158" i="20"/>
  <c r="CV157" i="20"/>
  <c r="CU157" i="20"/>
  <c r="CV156" i="20"/>
  <c r="CU156" i="20"/>
  <c r="CV154" i="20"/>
  <c r="CU154" i="20"/>
  <c r="CV153" i="20"/>
  <c r="CU153" i="20"/>
  <c r="CV152" i="20"/>
  <c r="CU152" i="20"/>
  <c r="CV151" i="20"/>
  <c r="CU151" i="20"/>
  <c r="CV148" i="20"/>
  <c r="CU148" i="20"/>
  <c r="CV146" i="20"/>
  <c r="CU146" i="20"/>
  <c r="CV145" i="20"/>
  <c r="CU145" i="20"/>
  <c r="CV144" i="20"/>
  <c r="CU144" i="20"/>
  <c r="CV142" i="20"/>
  <c r="CU142" i="20"/>
  <c r="CV141" i="20"/>
  <c r="CU141" i="20"/>
  <c r="CV140" i="20"/>
  <c r="CU140" i="20"/>
  <c r="CV138" i="20"/>
  <c r="CU138" i="20"/>
  <c r="CV137" i="20"/>
  <c r="CU137" i="20"/>
  <c r="CV136" i="20"/>
  <c r="CU136" i="20"/>
  <c r="CV134" i="20"/>
  <c r="CU134" i="20"/>
  <c r="CV133" i="20"/>
  <c r="CU133" i="20"/>
  <c r="CV132" i="20"/>
  <c r="CU132" i="20"/>
  <c r="CV130" i="20"/>
  <c r="CU130" i="20"/>
  <c r="CV129" i="20"/>
  <c r="CU129" i="20"/>
  <c r="CV128" i="20"/>
  <c r="CU128" i="20"/>
  <c r="CV126" i="20"/>
  <c r="CU126" i="20"/>
  <c r="CV125" i="20"/>
  <c r="CU125" i="20"/>
  <c r="CV124" i="20"/>
  <c r="CU124" i="20"/>
  <c r="CV123" i="20"/>
  <c r="CU123" i="20"/>
  <c r="CV122" i="20"/>
  <c r="CU122" i="20"/>
  <c r="CV120" i="20"/>
  <c r="CU120" i="20"/>
  <c r="CV119" i="20"/>
  <c r="CU119" i="20"/>
  <c r="CV118" i="20"/>
  <c r="CU118" i="20"/>
  <c r="CV117" i="20"/>
  <c r="CU117" i="20"/>
  <c r="CV89" i="20"/>
  <c r="CV88" i="20"/>
  <c r="CV87" i="20"/>
  <c r="CV86" i="20"/>
  <c r="CV85" i="20"/>
  <c r="CV84" i="20"/>
  <c r="CV82" i="20"/>
  <c r="CV81" i="20"/>
  <c r="CV79" i="20"/>
  <c r="CV78" i="20"/>
  <c r="CV76" i="20"/>
  <c r="CV75" i="20"/>
  <c r="CV74" i="20"/>
  <c r="CU72" i="20"/>
  <c r="CU71" i="20"/>
  <c r="CU70" i="20"/>
  <c r="CU69" i="20"/>
  <c r="CU67" i="20"/>
  <c r="CU66" i="20"/>
  <c r="CU65" i="20"/>
  <c r="CU64" i="20"/>
  <c r="CU47" i="20"/>
  <c r="CU182" i="20" s="1"/>
  <c r="CV46" i="20"/>
  <c r="CV50" i="20" s="1"/>
  <c r="CV45" i="20"/>
  <c r="CU45" i="20" s="1"/>
  <c r="CU180" i="20" s="1"/>
  <c r="CU181" i="20" s="1"/>
  <c r="CU184" i="20" s="1"/>
  <c r="CV43" i="20"/>
  <c r="CU43" i="20" s="1"/>
  <c r="CV41" i="20"/>
  <c r="CU41" i="20" s="1"/>
  <c r="CV39" i="20"/>
  <c r="CU39" i="20" s="1"/>
  <c r="CV37" i="20"/>
  <c r="CU37" i="20" s="1"/>
  <c r="CV36" i="20"/>
  <c r="CU36" i="20" s="1"/>
  <c r="CV35" i="20"/>
  <c r="CU35" i="20" s="1"/>
  <c r="CV34" i="20"/>
  <c r="CU34" i="20" s="1"/>
  <c r="CV32" i="20"/>
  <c r="CU32" i="20" s="1"/>
  <c r="CV31" i="20"/>
  <c r="CU31" i="20" s="1"/>
  <c r="CV30" i="20"/>
  <c r="CU30" i="20" s="1"/>
  <c r="CV29" i="20"/>
  <c r="CU29" i="20" s="1"/>
  <c r="CV28" i="20"/>
  <c r="CU28" i="20" s="1"/>
  <c r="CV27" i="20"/>
  <c r="CU27" i="20" s="1"/>
  <c r="CV26" i="20"/>
  <c r="CU26" i="20" s="1"/>
  <c r="CV25" i="20"/>
  <c r="CU25" i="20" s="1"/>
  <c r="CV19" i="20"/>
  <c r="CU19" i="20"/>
  <c r="CV18" i="20"/>
  <c r="CV17" i="20"/>
  <c r="CU17" i="20" s="1"/>
  <c r="CV16" i="20"/>
  <c r="CU16" i="20"/>
  <c r="CV15" i="20"/>
  <c r="CU15" i="20" s="1"/>
  <c r="CO117" i="20"/>
  <c r="BO126" i="20"/>
  <c r="CU18" i="20" l="1"/>
  <c r="CV180" i="20"/>
  <c r="CV181" i="20" s="1"/>
  <c r="CV185" i="20" s="1"/>
  <c r="CU46" i="20"/>
  <c r="CU49" i="20" s="1"/>
  <c r="BO168" i="20"/>
  <c r="BO148" i="20"/>
  <c r="BO146" i="20"/>
  <c r="BO145" i="20"/>
  <c r="BO144" i="20"/>
  <c r="BO142" i="20"/>
  <c r="BO141" i="20"/>
  <c r="BO138" i="20"/>
  <c r="BO137" i="20"/>
  <c r="BO136" i="20"/>
  <c r="BO134" i="20"/>
  <c r="BO133" i="20"/>
  <c r="BO132" i="20"/>
  <c r="BO130" i="20"/>
  <c r="BO129" i="20"/>
  <c r="BO128" i="20"/>
  <c r="BO125" i="20"/>
  <c r="BO124" i="20"/>
  <c r="BO123" i="20"/>
  <c r="BO122" i="20"/>
  <c r="BO120" i="20"/>
  <c r="BO119" i="20"/>
  <c r="BO117" i="20"/>
  <c r="BO28" i="20"/>
  <c r="BO27" i="20"/>
  <c r="BL27" i="20"/>
  <c r="BL26" i="20"/>
  <c r="BL25" i="20"/>
  <c r="BO16" i="20"/>
  <c r="BN168" i="20" l="1"/>
  <c r="CP182" i="20"/>
  <c r="CP177" i="20"/>
  <c r="CO177" i="20"/>
  <c r="CP174" i="20"/>
  <c r="CO174" i="20"/>
  <c r="CP171" i="20"/>
  <c r="CO171" i="20"/>
  <c r="CP168" i="20"/>
  <c r="CO168" i="20"/>
  <c r="CP166" i="20"/>
  <c r="CO166" i="20"/>
  <c r="CP165" i="20"/>
  <c r="CO165" i="20"/>
  <c r="CP164" i="20"/>
  <c r="CO164" i="20"/>
  <c r="CP163" i="20"/>
  <c r="CO163" i="20"/>
  <c r="CP162" i="20"/>
  <c r="CO162" i="20"/>
  <c r="CP161" i="20"/>
  <c r="CO161" i="20"/>
  <c r="CP159" i="20"/>
  <c r="CO159" i="20"/>
  <c r="CP158" i="20"/>
  <c r="CO158" i="20"/>
  <c r="CP157" i="20"/>
  <c r="CO157" i="20"/>
  <c r="CP156" i="20"/>
  <c r="CO156" i="20"/>
  <c r="CP154" i="20"/>
  <c r="CO154" i="20"/>
  <c r="CP153" i="20"/>
  <c r="CO153" i="20"/>
  <c r="CP152" i="20"/>
  <c r="CO152" i="20"/>
  <c r="CP151" i="20"/>
  <c r="CO151" i="20"/>
  <c r="CP148" i="20"/>
  <c r="CO148" i="20"/>
  <c r="CP146" i="20"/>
  <c r="CO146" i="20"/>
  <c r="CP145" i="20"/>
  <c r="CO145" i="20"/>
  <c r="CP144" i="20"/>
  <c r="CO144" i="20"/>
  <c r="CP142" i="20"/>
  <c r="CO142" i="20"/>
  <c r="CP141" i="20"/>
  <c r="CO141" i="20"/>
  <c r="CP140" i="20"/>
  <c r="CO140" i="20"/>
  <c r="CP138" i="20"/>
  <c r="CO138" i="20"/>
  <c r="CP137" i="20"/>
  <c r="CO137" i="20"/>
  <c r="CP136" i="20"/>
  <c r="CO136" i="20"/>
  <c r="CP134" i="20"/>
  <c r="CO134" i="20"/>
  <c r="CP133" i="20"/>
  <c r="CO133" i="20"/>
  <c r="CP132" i="20"/>
  <c r="CO132" i="20"/>
  <c r="CP130" i="20"/>
  <c r="CO130" i="20"/>
  <c r="CP129" i="20"/>
  <c r="CO129" i="20"/>
  <c r="CP128" i="20"/>
  <c r="CO128" i="20"/>
  <c r="CP126" i="20"/>
  <c r="CO126" i="20"/>
  <c r="CP125" i="20"/>
  <c r="CO125" i="20"/>
  <c r="CP124" i="20"/>
  <c r="CO124" i="20"/>
  <c r="CP123" i="20"/>
  <c r="CO123" i="20"/>
  <c r="CP122" i="20"/>
  <c r="CO122" i="20"/>
  <c r="CP120" i="20"/>
  <c r="CO120" i="20"/>
  <c r="CP119" i="20"/>
  <c r="CO119" i="20"/>
  <c r="CP118" i="20"/>
  <c r="CO118" i="20"/>
  <c r="CP117" i="20"/>
  <c r="CP89" i="20"/>
  <c r="CP88" i="20"/>
  <c r="CP87" i="20"/>
  <c r="CP86" i="20"/>
  <c r="CP85" i="20"/>
  <c r="CP84" i="20"/>
  <c r="CP82" i="20"/>
  <c r="CP81" i="20"/>
  <c r="CP79" i="20"/>
  <c r="CP78" i="20"/>
  <c r="CP76" i="20"/>
  <c r="CP75" i="20"/>
  <c r="CP74" i="20"/>
  <c r="CO72" i="20"/>
  <c r="CO71" i="20"/>
  <c r="CO70" i="20"/>
  <c r="CO69" i="20"/>
  <c r="CO67" i="20"/>
  <c r="CO66" i="20"/>
  <c r="CO65" i="20"/>
  <c r="CO64" i="20"/>
  <c r="CO47" i="20"/>
  <c r="CO182" i="20" s="1"/>
  <c r="CP46" i="20"/>
  <c r="CP50" i="20" s="1"/>
  <c r="CP45" i="20"/>
  <c r="CO45" i="20" s="1"/>
  <c r="CO180" i="20" s="1"/>
  <c r="CO181" i="20" s="1"/>
  <c r="CO184" i="20" s="1"/>
  <c r="CP43" i="20"/>
  <c r="CO43" i="20" s="1"/>
  <c r="CP41" i="20"/>
  <c r="CO41" i="20" s="1"/>
  <c r="CP39" i="20"/>
  <c r="CO39" i="20" s="1"/>
  <c r="CP37" i="20"/>
  <c r="CO37" i="20" s="1"/>
  <c r="CP36" i="20"/>
  <c r="CO36" i="20" s="1"/>
  <c r="CP35" i="20"/>
  <c r="CO35" i="20" s="1"/>
  <c r="CP34" i="20"/>
  <c r="CO34" i="20" s="1"/>
  <c r="CP32" i="20"/>
  <c r="CO32" i="20" s="1"/>
  <c r="CP31" i="20"/>
  <c r="CO31" i="20" s="1"/>
  <c r="CP30" i="20"/>
  <c r="CO30" i="20" s="1"/>
  <c r="CP29" i="20"/>
  <c r="CO29" i="20" s="1"/>
  <c r="CP28" i="20"/>
  <c r="CO28" i="20" s="1"/>
  <c r="CP27" i="20"/>
  <c r="CO27" i="20" s="1"/>
  <c r="CP26" i="20"/>
  <c r="CO26" i="20" s="1"/>
  <c r="CP25" i="20"/>
  <c r="CO25" i="20" s="1"/>
  <c r="CP19" i="20"/>
  <c r="CO19" i="20" s="1"/>
  <c r="CP18" i="20"/>
  <c r="CP17" i="20"/>
  <c r="CO17" i="20" s="1"/>
  <c r="CP16" i="20"/>
  <c r="CO16" i="20" s="1"/>
  <c r="CO18" i="20" s="1"/>
  <c r="CP15" i="20"/>
  <c r="CO15" i="20" s="1"/>
  <c r="CJ182" i="20"/>
  <c r="CJ177" i="20"/>
  <c r="CI177" i="20"/>
  <c r="CJ174" i="20"/>
  <c r="CI174" i="20"/>
  <c r="CJ171" i="20"/>
  <c r="CI171" i="20"/>
  <c r="CJ168" i="20"/>
  <c r="CI168" i="20"/>
  <c r="CJ166" i="20"/>
  <c r="CI166" i="20"/>
  <c r="CJ165" i="20"/>
  <c r="CI165" i="20"/>
  <c r="CJ164" i="20"/>
  <c r="CI164" i="20"/>
  <c r="CJ163" i="20"/>
  <c r="CI163" i="20"/>
  <c r="CJ162" i="20"/>
  <c r="CI162" i="20"/>
  <c r="CJ161" i="20"/>
  <c r="CI161" i="20"/>
  <c r="CJ159" i="20"/>
  <c r="CI159" i="20"/>
  <c r="CJ158" i="20"/>
  <c r="CI158" i="20"/>
  <c r="CJ157" i="20"/>
  <c r="CI157" i="20"/>
  <c r="CJ156" i="20"/>
  <c r="CI156" i="20"/>
  <c r="CJ154" i="20"/>
  <c r="CI154" i="20"/>
  <c r="CJ153" i="20"/>
  <c r="CI153" i="20"/>
  <c r="CJ152" i="20"/>
  <c r="CI152" i="20"/>
  <c r="CJ151" i="20"/>
  <c r="CI151" i="20"/>
  <c r="CJ148" i="20"/>
  <c r="CI148" i="20"/>
  <c r="CJ146" i="20"/>
  <c r="CI146" i="20"/>
  <c r="CJ145" i="20"/>
  <c r="CI145" i="20"/>
  <c r="CJ144" i="20"/>
  <c r="CI144" i="20"/>
  <c r="CJ142" i="20"/>
  <c r="CI142" i="20"/>
  <c r="CJ141" i="20"/>
  <c r="CI141" i="20"/>
  <c r="CJ140" i="20"/>
  <c r="CI140" i="20"/>
  <c r="CJ138" i="20"/>
  <c r="CI138" i="20"/>
  <c r="CJ137" i="20"/>
  <c r="CI137" i="20"/>
  <c r="CJ136" i="20"/>
  <c r="CI136" i="20"/>
  <c r="CJ134" i="20"/>
  <c r="CI134" i="20"/>
  <c r="CJ133" i="20"/>
  <c r="CI133" i="20"/>
  <c r="CJ132" i="20"/>
  <c r="CI132" i="20"/>
  <c r="CJ130" i="20"/>
  <c r="CI130" i="20"/>
  <c r="CJ129" i="20"/>
  <c r="CI129" i="20"/>
  <c r="CJ128" i="20"/>
  <c r="CI128" i="20"/>
  <c r="CJ126" i="20"/>
  <c r="CI126" i="20"/>
  <c r="CJ125" i="20"/>
  <c r="CI125" i="20"/>
  <c r="CJ124" i="20"/>
  <c r="CI124" i="20"/>
  <c r="CJ123" i="20"/>
  <c r="CI123" i="20"/>
  <c r="CJ122" i="20"/>
  <c r="CI122" i="20"/>
  <c r="CJ120" i="20"/>
  <c r="CI120" i="20"/>
  <c r="CJ119" i="20"/>
  <c r="CI119" i="20"/>
  <c r="CJ118" i="20"/>
  <c r="CI118" i="20"/>
  <c r="CJ117" i="20"/>
  <c r="CI117" i="20"/>
  <c r="CJ89" i="20"/>
  <c r="CJ88" i="20"/>
  <c r="CJ87" i="20"/>
  <c r="CJ86" i="20"/>
  <c r="CJ85" i="20"/>
  <c r="CJ84" i="20"/>
  <c r="CJ82" i="20"/>
  <c r="CJ81" i="20"/>
  <c r="CJ79" i="20"/>
  <c r="CJ78" i="20"/>
  <c r="CJ76" i="20"/>
  <c r="CJ75" i="20"/>
  <c r="CJ74" i="20"/>
  <c r="CI72" i="20"/>
  <c r="CI71" i="20"/>
  <c r="CI70" i="20"/>
  <c r="CI69" i="20"/>
  <c r="CI67" i="20"/>
  <c r="CI66" i="20"/>
  <c r="CI65" i="20"/>
  <c r="CI64" i="20"/>
  <c r="CI47" i="20"/>
  <c r="CI182" i="20" s="1"/>
  <c r="CJ46" i="20"/>
  <c r="CJ50" i="20" s="1"/>
  <c r="CJ45" i="20"/>
  <c r="CI45" i="20" s="1"/>
  <c r="CI180" i="20" s="1"/>
  <c r="CI181" i="20" s="1"/>
  <c r="CI184" i="20" s="1"/>
  <c r="CJ43" i="20"/>
  <c r="CI43" i="20" s="1"/>
  <c r="CJ41" i="20"/>
  <c r="CI41" i="20" s="1"/>
  <c r="CJ39" i="20"/>
  <c r="CI39" i="20" s="1"/>
  <c r="CJ37" i="20"/>
  <c r="CI37" i="20" s="1"/>
  <c r="CJ36" i="20"/>
  <c r="CI36" i="20" s="1"/>
  <c r="CJ35" i="20"/>
  <c r="CI35" i="20" s="1"/>
  <c r="CJ34" i="20"/>
  <c r="CI34" i="20" s="1"/>
  <c r="CJ32" i="20"/>
  <c r="CI32" i="20" s="1"/>
  <c r="CJ31" i="20"/>
  <c r="CI31" i="20" s="1"/>
  <c r="CJ30" i="20"/>
  <c r="CI30" i="20" s="1"/>
  <c r="CJ29" i="20"/>
  <c r="CI29" i="20" s="1"/>
  <c r="CJ28" i="20"/>
  <c r="CI28" i="20" s="1"/>
  <c r="CJ27" i="20"/>
  <c r="CI27" i="20" s="1"/>
  <c r="CJ26" i="20"/>
  <c r="CI26" i="20" s="1"/>
  <c r="CJ25" i="20"/>
  <c r="CI25" i="20" s="1"/>
  <c r="CJ19" i="20"/>
  <c r="CI19" i="20" s="1"/>
  <c r="CJ18" i="20"/>
  <c r="CJ17" i="20"/>
  <c r="CI17" i="20" s="1"/>
  <c r="CJ16" i="20"/>
  <c r="CI16" i="20" s="1"/>
  <c r="CI18" i="20" s="1"/>
  <c r="CJ15" i="20"/>
  <c r="CI15" i="20" s="1"/>
  <c r="CC47" i="20"/>
  <c r="CC182" i="20" s="1"/>
  <c r="CD46" i="20"/>
  <c r="CD50" i="20" s="1"/>
  <c r="CC46" i="20"/>
  <c r="CC49" i="20" s="1"/>
  <c r="CD45" i="20"/>
  <c r="CC45" i="20"/>
  <c r="CD43" i="20"/>
  <c r="CC43" i="20"/>
  <c r="CD41" i="20"/>
  <c r="CC41" i="20"/>
  <c r="CD39" i="20"/>
  <c r="CC39" i="20"/>
  <c r="CD37" i="20"/>
  <c r="CC37" i="20"/>
  <c r="CD36" i="20"/>
  <c r="CC36" i="20"/>
  <c r="CD35" i="20"/>
  <c r="CC35" i="20"/>
  <c r="CD34" i="20"/>
  <c r="CC34" i="20"/>
  <c r="CD32" i="20"/>
  <c r="CC32" i="20"/>
  <c r="CD31" i="20"/>
  <c r="CC31" i="20"/>
  <c r="CD30" i="20"/>
  <c r="CC30" i="20"/>
  <c r="CD29" i="20"/>
  <c r="CC29" i="20"/>
  <c r="CD28" i="20"/>
  <c r="CC28" i="20"/>
  <c r="CD27" i="20"/>
  <c r="CC27" i="20"/>
  <c r="CD26" i="20"/>
  <c r="CC26" i="20"/>
  <c r="CD25" i="20"/>
  <c r="CC25" i="20"/>
  <c r="CD19" i="20"/>
  <c r="CC19" i="20"/>
  <c r="CD18" i="20"/>
  <c r="CD17" i="20"/>
  <c r="CC17" i="20" s="1"/>
  <c r="CD16" i="20"/>
  <c r="CC16" i="20" s="1"/>
  <c r="CC18" i="20" s="1"/>
  <c r="CD15" i="20"/>
  <c r="CC15" i="20" s="1"/>
  <c r="CD182" i="20"/>
  <c r="CD177" i="20"/>
  <c r="CC177" i="20"/>
  <c r="CD174" i="20"/>
  <c r="CC174" i="20"/>
  <c r="CD171" i="20"/>
  <c r="CC171" i="20"/>
  <c r="CD168" i="20"/>
  <c r="CC168" i="20"/>
  <c r="CD166" i="20"/>
  <c r="CC166" i="20"/>
  <c r="CD165" i="20"/>
  <c r="CC165" i="20"/>
  <c r="CD164" i="20"/>
  <c r="CC164" i="20"/>
  <c r="CD163" i="20"/>
  <c r="CC163" i="20"/>
  <c r="CD162" i="20"/>
  <c r="CC162" i="20"/>
  <c r="CD161" i="20"/>
  <c r="CC161" i="20"/>
  <c r="CD159" i="20"/>
  <c r="CC159" i="20"/>
  <c r="CD158" i="20"/>
  <c r="CC158" i="20"/>
  <c r="CD157" i="20"/>
  <c r="CC157" i="20"/>
  <c r="CD156" i="20"/>
  <c r="CC156" i="20"/>
  <c r="CD154" i="20"/>
  <c r="CC154" i="20"/>
  <c r="CD153" i="20"/>
  <c r="CC153" i="20"/>
  <c r="CD152" i="20"/>
  <c r="CC152" i="20"/>
  <c r="CD151" i="20"/>
  <c r="CC151" i="20"/>
  <c r="CD148" i="20"/>
  <c r="CC148" i="20"/>
  <c r="CD146" i="20"/>
  <c r="CC146" i="20"/>
  <c r="CD145" i="20"/>
  <c r="CC145" i="20"/>
  <c r="CD144" i="20"/>
  <c r="CC144" i="20"/>
  <c r="CD142" i="20"/>
  <c r="CC142" i="20"/>
  <c r="CD141" i="20"/>
  <c r="CC141" i="20"/>
  <c r="CD140" i="20"/>
  <c r="CC140" i="20"/>
  <c r="CD138" i="20"/>
  <c r="CC138" i="20"/>
  <c r="CD137" i="20"/>
  <c r="CC137" i="20"/>
  <c r="CD136" i="20"/>
  <c r="CC136" i="20"/>
  <c r="CD134" i="20"/>
  <c r="CC134" i="20"/>
  <c r="CD133" i="20"/>
  <c r="CC133" i="20"/>
  <c r="CD132" i="20"/>
  <c r="CC132" i="20"/>
  <c r="CD130" i="20"/>
  <c r="CC130" i="20"/>
  <c r="CD129" i="20"/>
  <c r="CC129" i="20"/>
  <c r="CD128" i="20"/>
  <c r="CC128" i="20"/>
  <c r="CD126" i="20"/>
  <c r="CC126" i="20"/>
  <c r="CD125" i="20"/>
  <c r="CC125" i="20"/>
  <c r="CD124" i="20"/>
  <c r="CC124" i="20"/>
  <c r="CD123" i="20"/>
  <c r="CC123" i="20"/>
  <c r="CD122" i="20"/>
  <c r="CC122" i="20"/>
  <c r="CD120" i="20"/>
  <c r="CC120" i="20"/>
  <c r="CD119" i="20"/>
  <c r="CC119" i="20"/>
  <c r="CD118" i="20"/>
  <c r="CC118" i="20"/>
  <c r="CD117" i="20"/>
  <c r="CC117" i="20"/>
  <c r="CD89" i="20"/>
  <c r="CD88" i="20"/>
  <c r="CD87" i="20"/>
  <c r="CD86" i="20"/>
  <c r="CD85" i="20"/>
  <c r="CD84" i="20"/>
  <c r="CD82" i="20"/>
  <c r="CD81" i="20"/>
  <c r="CD79" i="20"/>
  <c r="CD78" i="20"/>
  <c r="CD76" i="20"/>
  <c r="CD75" i="20"/>
  <c r="CD74" i="20"/>
  <c r="CC72" i="20"/>
  <c r="CC71" i="20"/>
  <c r="CC70" i="20"/>
  <c r="CC69" i="20"/>
  <c r="CC67" i="20"/>
  <c r="CC66" i="20"/>
  <c r="CC65" i="20"/>
  <c r="CC64" i="20"/>
  <c r="CD180" i="20"/>
  <c r="CD181" i="20" s="1"/>
  <c r="CD185" i="20" s="1"/>
  <c r="CC180" i="20"/>
  <c r="CC181" i="20" s="1"/>
  <c r="CC184" i="20" s="1"/>
  <c r="CP180" i="20" l="1"/>
  <c r="CP181" i="20" s="1"/>
  <c r="CP185" i="20" s="1"/>
  <c r="CO46" i="20"/>
  <c r="CO49" i="20" s="1"/>
  <c r="CJ180" i="20"/>
  <c r="CJ181" i="20" s="1"/>
  <c r="CJ185" i="20" s="1"/>
  <c r="CI46" i="20"/>
  <c r="CI49" i="20" s="1"/>
  <c r="DB13" i="20" l="1"/>
  <c r="CV13" i="20"/>
  <c r="O194" i="22"/>
  <c r="K194" i="22"/>
  <c r="J114" i="22"/>
  <c r="K114" i="22" s="1"/>
  <c r="J93" i="22"/>
  <c r="K93" i="22" s="1"/>
  <c r="AA117" i="22"/>
  <c r="AA118" i="22" s="1"/>
  <c r="AA119" i="22" s="1"/>
  <c r="AA120" i="22" s="1"/>
  <c r="AA121" i="22" s="1"/>
  <c r="AA122" i="22" s="1"/>
  <c r="AA123" i="22" s="1"/>
  <c r="AA124" i="22" s="1"/>
  <c r="AA125" i="22" s="1"/>
  <c r="AA126" i="22" s="1"/>
  <c r="AA127" i="22" s="1"/>
  <c r="AA128" i="22" s="1"/>
  <c r="AA129" i="22" s="1"/>
  <c r="AA130" i="22" s="1"/>
  <c r="AA131" i="22" s="1"/>
  <c r="O23" i="22"/>
  <c r="K23" i="22"/>
  <c r="AA132" i="22" l="1"/>
  <c r="AA133" i="22" s="1"/>
  <c r="AA134" i="22" s="1"/>
  <c r="AA135" i="22" s="1"/>
  <c r="AA136" i="22" s="1"/>
  <c r="AA137" i="22" s="1"/>
  <c r="AA138" i="22" s="1"/>
  <c r="AA139" i="22" s="1"/>
  <c r="AA140" i="22" s="1"/>
  <c r="AA141" i="22" s="1"/>
  <c r="AA142" i="22" s="1"/>
  <c r="AA143" i="22" s="1"/>
  <c r="AA144" i="22" s="1"/>
  <c r="AA145" i="22" s="1"/>
  <c r="AA146" i="22" s="1"/>
  <c r="AA147" i="22" s="1"/>
  <c r="AA148" i="22" s="1"/>
  <c r="AA149" i="22" s="1"/>
  <c r="AA150" i="22" s="1"/>
  <c r="AA151" i="22" s="1"/>
  <c r="AA152" i="22" s="1"/>
  <c r="AA153" i="22" s="1"/>
  <c r="AA154" i="22" s="1"/>
  <c r="AA155" i="22" s="1"/>
  <c r="AA156" i="22" s="1"/>
  <c r="AA157" i="22" s="1"/>
  <c r="AA158" i="22" s="1"/>
  <c r="AA159" i="22" s="1"/>
  <c r="AA160" i="22" s="1"/>
  <c r="AA161" i="22" s="1"/>
  <c r="AA162" i="22" s="1"/>
  <c r="AA163" i="22" s="1"/>
  <c r="AA164" i="22" s="1"/>
  <c r="AA165" i="22" s="1"/>
  <c r="AA166" i="22" s="1"/>
  <c r="AA167" i="22" s="1"/>
  <c r="AA168" i="22" s="1"/>
  <c r="AA169" i="22" s="1"/>
  <c r="AA170" i="22" s="1"/>
  <c r="AA171" i="22" s="1"/>
  <c r="AA172" i="22" s="1"/>
  <c r="AA173" i="22" s="1"/>
  <c r="AA174" i="22" s="1"/>
  <c r="AA175" i="22" s="1"/>
  <c r="AA176" i="22" s="1"/>
  <c r="AA177" i="22" s="1"/>
  <c r="O114" i="22"/>
  <c r="O93" i="22"/>
  <c r="J194" i="20" l="1"/>
  <c r="K194" i="20" s="1"/>
  <c r="AT57" i="23"/>
  <c r="AY57" i="23" s="1"/>
  <c r="AS57" i="23"/>
  <c r="AX57" i="23" s="1"/>
  <c r="AR57" i="23"/>
  <c r="AW57" i="23" s="1"/>
  <c r="AQ57" i="23"/>
  <c r="AV57" i="23" s="1"/>
  <c r="AP57" i="23"/>
  <c r="AU57" i="23" s="1"/>
  <c r="AQ55" i="23"/>
  <c r="AV55" i="23" s="1"/>
  <c r="AP55" i="23"/>
  <c r="AU55" i="23" s="1"/>
  <c r="AT54" i="23"/>
  <c r="AY54" i="23" s="1"/>
  <c r="AS54" i="23"/>
  <c r="AS64" i="23" s="1"/>
  <c r="AR54" i="23"/>
  <c r="AW54" i="23" s="1"/>
  <c r="AQ54" i="23"/>
  <c r="AQ64" i="23" s="1"/>
  <c r="AP54" i="23"/>
  <c r="AU54" i="23" s="1"/>
  <c r="AQ53" i="23"/>
  <c r="AV53" i="23" s="1"/>
  <c r="AP53" i="23"/>
  <c r="AU53" i="23" s="1"/>
  <c r="AR52" i="23"/>
  <c r="AW52" i="23" s="1"/>
  <c r="AQ52" i="23"/>
  <c r="AV52" i="23" s="1"/>
  <c r="AP52" i="23"/>
  <c r="AU52" i="23" s="1"/>
  <c r="AT51" i="23"/>
  <c r="AY51" i="23" s="1"/>
  <c r="AS51" i="23"/>
  <c r="AX51" i="23" s="1"/>
  <c r="AR51" i="23"/>
  <c r="AW51" i="23" s="1"/>
  <c r="AQ51" i="23"/>
  <c r="AV51" i="23" s="1"/>
  <c r="AP61" i="23"/>
  <c r="AR67" i="23"/>
  <c r="AQ67" i="23"/>
  <c r="AP65" i="23"/>
  <c r="AT64" i="23"/>
  <c r="AR64" i="23"/>
  <c r="AR62" i="23"/>
  <c r="AP62" i="23"/>
  <c r="AS61" i="23"/>
  <c r="AO67" i="23"/>
  <c r="AN67" i="23"/>
  <c r="AM67" i="23"/>
  <c r="AL67" i="23"/>
  <c r="AK67" i="23"/>
  <c r="AL65" i="23"/>
  <c r="AK65" i="23"/>
  <c r="AO64" i="23"/>
  <c r="AN64" i="23"/>
  <c r="AM64" i="23"/>
  <c r="AL64" i="23"/>
  <c r="AK64" i="23"/>
  <c r="AL63" i="23"/>
  <c r="AK63" i="23"/>
  <c r="AM62" i="23"/>
  <c r="AL62" i="23"/>
  <c r="AK62" i="23"/>
  <c r="AO61" i="23"/>
  <c r="AN61" i="23"/>
  <c r="AM61" i="23"/>
  <c r="AL61" i="23"/>
  <c r="AK61" i="23"/>
  <c r="AQ61" i="23" l="1"/>
  <c r="AP63" i="23"/>
  <c r="AS67" i="23"/>
  <c r="AQ63" i="23"/>
  <c r="AQ65" i="23"/>
  <c r="AT67" i="23"/>
  <c r="AR61" i="23"/>
  <c r="AQ62" i="23"/>
  <c r="AP67" i="23"/>
  <c r="O194" i="20"/>
  <c r="BA51" i="23"/>
  <c r="AV61" i="23"/>
  <c r="BC51" i="23"/>
  <c r="AX61" i="23"/>
  <c r="BB52" i="23"/>
  <c r="AW62" i="23"/>
  <c r="BA53" i="23"/>
  <c r="AV63" i="23"/>
  <c r="AU65" i="23"/>
  <c r="AZ55" i="23"/>
  <c r="BA57" i="23"/>
  <c r="AV67" i="23"/>
  <c r="BC57" i="23"/>
  <c r="AX67" i="23"/>
  <c r="BB51" i="23"/>
  <c r="AW61" i="23"/>
  <c r="BD51" i="23"/>
  <c r="AY61" i="23"/>
  <c r="BA52" i="23"/>
  <c r="AV62" i="23"/>
  <c r="AZ53" i="23"/>
  <c r="AU63" i="23"/>
  <c r="AZ54" i="23"/>
  <c r="AU64" i="23"/>
  <c r="BB54" i="23"/>
  <c r="AW64" i="23"/>
  <c r="BD54" i="23"/>
  <c r="AY64" i="23"/>
  <c r="BA55" i="23"/>
  <c r="AV65" i="23"/>
  <c r="AZ57" i="23"/>
  <c r="AU67" i="23"/>
  <c r="BB57" i="23"/>
  <c r="AW67" i="23"/>
  <c r="BD57" i="23"/>
  <c r="AY67" i="23"/>
  <c r="AZ52" i="23"/>
  <c r="AU62" i="23"/>
  <c r="AT61" i="23"/>
  <c r="AP64" i="23"/>
  <c r="AU51" i="23"/>
  <c r="AV54" i="23"/>
  <c r="AX54" i="23"/>
  <c r="K23" i="20"/>
  <c r="AX64" i="23" l="1"/>
  <c r="BC54" i="23"/>
  <c r="AZ51" i="23"/>
  <c r="AU61" i="23"/>
  <c r="BE52" i="23"/>
  <c r="AZ62" i="23"/>
  <c r="BI57" i="23"/>
  <c r="BD67" i="23"/>
  <c r="BG57" i="23"/>
  <c r="BB67" i="23"/>
  <c r="BE57" i="23"/>
  <c r="AZ67" i="23"/>
  <c r="BA65" i="23"/>
  <c r="BF55" i="23"/>
  <c r="BD64" i="23"/>
  <c r="BI54" i="23"/>
  <c r="BB64" i="23"/>
  <c r="BG54" i="23"/>
  <c r="AZ64" i="23"/>
  <c r="BE54" i="23"/>
  <c r="BE53" i="23"/>
  <c r="AZ63" i="23"/>
  <c r="BF52" i="23"/>
  <c r="BA62" i="23"/>
  <c r="BI51" i="23"/>
  <c r="BD61" i="23"/>
  <c r="BG51" i="23"/>
  <c r="BB61" i="23"/>
  <c r="BH57" i="23"/>
  <c r="BC67" i="23"/>
  <c r="BF57" i="23"/>
  <c r="BA67" i="23"/>
  <c r="BF53" i="23"/>
  <c r="BA63" i="23"/>
  <c r="BG52" i="23"/>
  <c r="BB62" i="23"/>
  <c r="BH51" i="23"/>
  <c r="BC61" i="23"/>
  <c r="BF51" i="23"/>
  <c r="BA61" i="23"/>
  <c r="AV64" i="23"/>
  <c r="BA54" i="23"/>
  <c r="BE55" i="23"/>
  <c r="AZ65" i="23"/>
  <c r="BF54" i="23" l="1"/>
  <c r="BA64" i="23"/>
  <c r="BG64" i="23"/>
  <c r="BF65" i="23"/>
  <c r="BE65" i="23"/>
  <c r="BF61" i="23"/>
  <c r="BH61" i="23"/>
  <c r="BG62" i="23"/>
  <c r="BF63" i="23"/>
  <c r="BF67" i="23"/>
  <c r="BH67" i="23"/>
  <c r="BG61" i="23"/>
  <c r="BI61" i="23"/>
  <c r="BF62" i="23"/>
  <c r="BE63" i="23"/>
  <c r="BE67" i="23"/>
  <c r="BG67" i="23"/>
  <c r="BI67" i="23"/>
  <c r="BE62" i="23"/>
  <c r="BE51" i="23"/>
  <c r="AZ61" i="23"/>
  <c r="BE64" i="23"/>
  <c r="BI64" i="23"/>
  <c r="BH54" i="23"/>
  <c r="BC64" i="23"/>
  <c r="AJ75" i="23"/>
  <c r="AJ76" i="23" s="1"/>
  <c r="AJ77" i="23" s="1"/>
  <c r="AJ78" i="23" s="1"/>
  <c r="AJ79" i="23" s="1"/>
  <c r="AJ80" i="23" s="1"/>
  <c r="AJ81" i="23" s="1"/>
  <c r="AJ82" i="23" s="1"/>
  <c r="AJ83" i="23" s="1"/>
  <c r="AJ84" i="23" s="1"/>
  <c r="AJ85" i="23" s="1"/>
  <c r="AJ86" i="23" s="1"/>
  <c r="AJ87" i="23" s="1"/>
  <c r="AJ88" i="23" s="1"/>
  <c r="AJ89" i="23" s="1"/>
  <c r="AJ90" i="23" s="1"/>
  <c r="AJ91" i="23" s="1"/>
  <c r="AJ92" i="23" s="1"/>
  <c r="AJ93" i="23" s="1"/>
  <c r="AJ94" i="23" s="1"/>
  <c r="AJ95" i="23" s="1"/>
  <c r="AJ96" i="23" s="1"/>
  <c r="AJ97" i="23" s="1"/>
  <c r="AJ98" i="23" s="1"/>
  <c r="AJ99" i="23" s="1"/>
  <c r="AJ100" i="23" s="1"/>
  <c r="AJ101" i="23" s="1"/>
  <c r="AJ102" i="23" s="1"/>
  <c r="AJ103" i="23" s="1"/>
  <c r="AJ104" i="23" s="1"/>
  <c r="AJ105" i="23" s="1"/>
  <c r="AJ106" i="23" s="1"/>
  <c r="AJ107" i="23" s="1"/>
  <c r="AJ108" i="23" s="1"/>
  <c r="AJ109" i="23" s="1"/>
  <c r="AJ110" i="23" s="1"/>
  <c r="AJ111" i="23" s="1"/>
  <c r="AJ112" i="23" s="1"/>
  <c r="AJ113" i="23" s="1"/>
  <c r="AJ114" i="23" s="1"/>
  <c r="AJ115" i="23" s="1"/>
  <c r="AJ116" i="23" s="1"/>
  <c r="AJ117" i="23" s="1"/>
  <c r="AJ118" i="23" s="1"/>
  <c r="AJ119" i="23" s="1"/>
  <c r="AJ120" i="23" s="1"/>
  <c r="AJ121" i="23" s="1"/>
  <c r="AJ122" i="23" s="1"/>
  <c r="AJ123" i="23" s="1"/>
  <c r="AJ124" i="23" s="1"/>
  <c r="AJ125" i="23" s="1"/>
  <c r="AJ126" i="23" s="1"/>
  <c r="AJ127" i="23" s="1"/>
  <c r="AJ128" i="23" s="1"/>
  <c r="AJ129" i="23" s="1"/>
  <c r="AJ130" i="23" s="1"/>
  <c r="AJ131" i="23" s="1"/>
  <c r="AJ132" i="23" s="1"/>
  <c r="AJ133" i="23" s="1"/>
  <c r="AJ134" i="23" s="1"/>
  <c r="AJ135" i="23" s="1"/>
  <c r="BH64" i="23" l="1"/>
  <c r="BE61" i="23"/>
  <c r="BF64" i="23"/>
  <c r="J86" i="20"/>
  <c r="CP13" i="20" l="1"/>
  <c r="F72" i="22"/>
  <c r="F71" i="22"/>
  <c r="F70" i="22"/>
  <c r="F69" i="22"/>
  <c r="F67" i="22"/>
  <c r="F66" i="22"/>
  <c r="F65" i="22"/>
  <c r="F64" i="22"/>
  <c r="AO55" i="23" l="1"/>
  <c r="BN148" i="20"/>
  <c r="BN146" i="20"/>
  <c r="BN145" i="20"/>
  <c r="BN144" i="20"/>
  <c r="BN142" i="20"/>
  <c r="BN141" i="20"/>
  <c r="BN140" i="20"/>
  <c r="BN138" i="20"/>
  <c r="BN137" i="20"/>
  <c r="BN136" i="20"/>
  <c r="BN134" i="20"/>
  <c r="BN133" i="20"/>
  <c r="BN132" i="20"/>
  <c r="BN129" i="20"/>
  <c r="BN125" i="20"/>
  <c r="BN124" i="20"/>
  <c r="BN123" i="20"/>
  <c r="BN122" i="20"/>
  <c r="BN118" i="20"/>
  <c r="BJ9" i="20"/>
  <c r="BN28" i="20"/>
  <c r="BN18" i="20"/>
  <c r="BG25" i="20"/>
  <c r="CJ13" i="20"/>
  <c r="G13" i="20"/>
  <c r="CD13" i="20"/>
  <c r="BJ13" i="20"/>
  <c r="AM55" i="23"/>
  <c r="AK56" i="23"/>
  <c r="AB89" i="20"/>
  <c r="AJ56" i="23" s="1"/>
  <c r="AB88" i="20"/>
  <c r="AJ55" i="23" s="1"/>
  <c r="AB87" i="20"/>
  <c r="AB86" i="20"/>
  <c r="AJ53" i="23" s="1"/>
  <c r="AB85" i="20"/>
  <c r="AJ52" i="23" s="1"/>
  <c r="AB84" i="20"/>
  <c r="AJ51" i="23" s="1"/>
  <c r="W55" i="23" l="1"/>
  <c r="H55" i="23"/>
  <c r="M55" i="23"/>
  <c r="R55" i="23"/>
  <c r="C55" i="23"/>
  <c r="M52" i="23"/>
  <c r="R52" i="23"/>
  <c r="C52" i="23"/>
  <c r="W52" i="23"/>
  <c r="H52" i="23"/>
  <c r="M56" i="23"/>
  <c r="AB56" i="23"/>
  <c r="R56" i="23"/>
  <c r="C56" i="23"/>
  <c r="W56" i="23"/>
  <c r="H56" i="23"/>
  <c r="W53" i="23"/>
  <c r="H53" i="23"/>
  <c r="M53" i="23"/>
  <c r="AB53" i="23"/>
  <c r="R53" i="23"/>
  <c r="C53" i="23"/>
  <c r="M51" i="23"/>
  <c r="H51" i="23"/>
  <c r="C51" i="23"/>
  <c r="W51" i="23"/>
  <c r="R51" i="23"/>
  <c r="AM65" i="23"/>
  <c r="AR55" i="23"/>
  <c r="AK66" i="23"/>
  <c r="AP56" i="23"/>
  <c r="AT55" i="23"/>
  <c r="AO65" i="23"/>
  <c r="AJ54" i="23"/>
  <c r="AJ57" i="23"/>
  <c r="AR84" i="20" l="1"/>
  <c r="AW84" i="20"/>
  <c r="AM84" i="20"/>
  <c r="AR86" i="20"/>
  <c r="AR156" i="20" s="1"/>
  <c r="AM86" i="20"/>
  <c r="AM156" i="20" s="1"/>
  <c r="AW86" i="20"/>
  <c r="AW156" i="20" s="1"/>
  <c r="AW89" i="20"/>
  <c r="AR89" i="20"/>
  <c r="AM89" i="20"/>
  <c r="AW85" i="20"/>
  <c r="AR85" i="20"/>
  <c r="AM85" i="20"/>
  <c r="AR88" i="20"/>
  <c r="AM88" i="20"/>
  <c r="AW88" i="20"/>
  <c r="BB86" i="20"/>
  <c r="BB156" i="20" s="1"/>
  <c r="BB89" i="20"/>
  <c r="M54" i="23"/>
  <c r="R54" i="23"/>
  <c r="C54" i="23"/>
  <c r="W54" i="23"/>
  <c r="H54" i="23"/>
  <c r="H57" i="23"/>
  <c r="W57" i="23"/>
  <c r="M57" i="23"/>
  <c r="R57" i="23"/>
  <c r="C57" i="23"/>
  <c r="AC159" i="22" s="1"/>
  <c r="AY55" i="23"/>
  <c r="AT65" i="23"/>
  <c r="AU56" i="23"/>
  <c r="AP66" i="23"/>
  <c r="AW55" i="23"/>
  <c r="AR65" i="23"/>
  <c r="AC84" i="20"/>
  <c r="AH84" i="20"/>
  <c r="AH86" i="20"/>
  <c r="AH156" i="20" s="1"/>
  <c r="AC86" i="20"/>
  <c r="AC156" i="20" s="1"/>
  <c r="AH89" i="20"/>
  <c r="AC89" i="20"/>
  <c r="AH88" i="20"/>
  <c r="AC88" i="20"/>
  <c r="AM159" i="20" l="1"/>
  <c r="AM159" i="22"/>
  <c r="AH159" i="20"/>
  <c r="AH159" i="22"/>
  <c r="AW87" i="20"/>
  <c r="AW158" i="20" s="1"/>
  <c r="AR87" i="20"/>
  <c r="AR158" i="20" s="1"/>
  <c r="AM87" i="20"/>
  <c r="AM158" i="20" s="1"/>
  <c r="AM157" i="20"/>
  <c r="AW157" i="20"/>
  <c r="AR157" i="20"/>
  <c r="AR159" i="20"/>
  <c r="AR159" i="22"/>
  <c r="AW159" i="20"/>
  <c r="AW159" i="22"/>
  <c r="AH87" i="20"/>
  <c r="AH158" i="20" s="1"/>
  <c r="AC87" i="20"/>
  <c r="AC158" i="20" s="1"/>
  <c r="AW65" i="23"/>
  <c r="BB55" i="23"/>
  <c r="AU66" i="23"/>
  <c r="AZ56" i="23"/>
  <c r="BD55" i="23"/>
  <c r="AY65" i="23"/>
  <c r="AC159" i="20"/>
  <c r="BE56" i="23" l="1"/>
  <c r="AZ66" i="23"/>
  <c r="BG55" i="23"/>
  <c r="BB65" i="23"/>
  <c r="BD65" i="23"/>
  <c r="BI55" i="23"/>
  <c r="AB82" i="20"/>
  <c r="AJ47" i="23" s="1"/>
  <c r="AJ36" i="23" s="1"/>
  <c r="C36" i="23" s="1"/>
  <c r="AB81" i="20"/>
  <c r="AJ46" i="23" s="1"/>
  <c r="AB79" i="20"/>
  <c r="AJ44" i="23" s="1"/>
  <c r="AB78" i="20"/>
  <c r="AJ43" i="23" s="1"/>
  <c r="AB76" i="20"/>
  <c r="AJ41" i="23" s="1"/>
  <c r="AB75" i="20"/>
  <c r="AJ40" i="23" s="1"/>
  <c r="AJ20" i="23" s="1"/>
  <c r="AB74" i="20"/>
  <c r="AJ39" i="23" s="1"/>
  <c r="P20" i="23" l="1"/>
  <c r="P8" i="23" s="1"/>
  <c r="U20" i="23"/>
  <c r="U8" i="23" s="1"/>
  <c r="Z20" i="23"/>
  <c r="Z8" i="23" s="1"/>
  <c r="O36" i="23"/>
  <c r="O14" i="23" s="1"/>
  <c r="M36" i="23"/>
  <c r="M14" i="23" s="1"/>
  <c r="T36" i="23"/>
  <c r="T14" i="23" s="1"/>
  <c r="R36" i="23"/>
  <c r="R14" i="23" s="1"/>
  <c r="Y36" i="23"/>
  <c r="Y14" i="23" s="1"/>
  <c r="W36" i="23"/>
  <c r="W14" i="23" s="1"/>
  <c r="H36" i="23"/>
  <c r="H14" i="23" s="1"/>
  <c r="P36" i="23"/>
  <c r="P14" i="23" s="1"/>
  <c r="N36" i="23"/>
  <c r="N14" i="23" s="1"/>
  <c r="U36" i="23"/>
  <c r="U14" i="23" s="1"/>
  <c r="S36" i="23"/>
  <c r="S14" i="23" s="1"/>
  <c r="Z36" i="23"/>
  <c r="Z14" i="23" s="1"/>
  <c r="X36" i="23"/>
  <c r="X14" i="23" s="1"/>
  <c r="K20" i="23"/>
  <c r="K8" i="23" s="1"/>
  <c r="BI65" i="23"/>
  <c r="BG65" i="23"/>
  <c r="BE66" i="23"/>
  <c r="AJ23" i="23"/>
  <c r="AJ18" i="23"/>
  <c r="AC85" i="20"/>
  <c r="AC157" i="20" s="1"/>
  <c r="AH85" i="20"/>
  <c r="AH157" i="20" s="1"/>
  <c r="AJ27" i="23"/>
  <c r="AJ28" i="23"/>
  <c r="AJ31" i="23"/>
  <c r="AJ30" i="23"/>
  <c r="AJ26" i="23"/>
  <c r="K36" i="23"/>
  <c r="K14" i="23" s="1"/>
  <c r="I36" i="23"/>
  <c r="I14" i="23" s="1"/>
  <c r="F36" i="23"/>
  <c r="D36" i="23"/>
  <c r="J36" i="23"/>
  <c r="J14" i="23" s="1"/>
  <c r="E36" i="23"/>
  <c r="AJ34" i="23"/>
  <c r="E34" i="23" s="1"/>
  <c r="F20" i="23"/>
  <c r="AJ32" i="23"/>
  <c r="AJ19" i="23"/>
  <c r="AJ22" i="23"/>
  <c r="AJ24" i="23"/>
  <c r="AJ21" i="23"/>
  <c r="AJ25" i="23"/>
  <c r="AJ29" i="23"/>
  <c r="AJ33" i="23"/>
  <c r="AJ35" i="23"/>
  <c r="AT72" i="20" l="1"/>
  <c r="AS72" i="20"/>
  <c r="AX72" i="20"/>
  <c r="AO72" i="20"/>
  <c r="AN72" i="20"/>
  <c r="AO66" i="20"/>
  <c r="AY72" i="20"/>
  <c r="AY66" i="20"/>
  <c r="AW72" i="20"/>
  <c r="AR72" i="20"/>
  <c r="AM72" i="20"/>
  <c r="AV72" i="20"/>
  <c r="AQ72" i="20"/>
  <c r="AL72" i="20"/>
  <c r="AT66" i="20"/>
  <c r="Z35" i="23"/>
  <c r="P35" i="23"/>
  <c r="P13" i="23" s="1"/>
  <c r="U35" i="23"/>
  <c r="U13" i="23" s="1"/>
  <c r="W29" i="23"/>
  <c r="M29" i="23"/>
  <c r="M12" i="23" s="1"/>
  <c r="R29" i="23"/>
  <c r="R12" i="23" s="1"/>
  <c r="C29" i="23"/>
  <c r="C12" i="23" s="1"/>
  <c r="M21" i="23"/>
  <c r="M9" i="23" s="1"/>
  <c r="R21" i="23"/>
  <c r="R9" i="23" s="1"/>
  <c r="W21" i="23"/>
  <c r="W9" i="23" s="1"/>
  <c r="M32" i="23"/>
  <c r="M13" i="23" s="1"/>
  <c r="R32" i="23"/>
  <c r="W32" i="23"/>
  <c r="W13" i="23" s="1"/>
  <c r="O34" i="23"/>
  <c r="O13" i="23" s="1"/>
  <c r="T34" i="23"/>
  <c r="T13" i="23" s="1"/>
  <c r="Y34" i="23"/>
  <c r="Y13" i="23" s="1"/>
  <c r="N30" i="23"/>
  <c r="N12" i="23" s="1"/>
  <c r="S30" i="23"/>
  <c r="S12" i="23" s="1"/>
  <c r="X30" i="23"/>
  <c r="X12" i="23" s="1"/>
  <c r="AC28" i="23"/>
  <c r="AC11" i="23" s="1"/>
  <c r="N28" i="23"/>
  <c r="N11" i="23" s="1"/>
  <c r="S28" i="23"/>
  <c r="S11" i="23" s="1"/>
  <c r="X28" i="23"/>
  <c r="X11" i="23" s="1"/>
  <c r="N18" i="23"/>
  <c r="N7" i="23" s="1"/>
  <c r="S18" i="23"/>
  <c r="S7" i="23" s="1"/>
  <c r="X18" i="23"/>
  <c r="X33" i="23"/>
  <c r="N33" i="23"/>
  <c r="N13" i="23" s="1"/>
  <c r="S33" i="23"/>
  <c r="S13" i="23" s="1"/>
  <c r="O25" i="23"/>
  <c r="O10" i="23" s="1"/>
  <c r="T25" i="23"/>
  <c r="Y25" i="23"/>
  <c r="Y10" i="23" s="1"/>
  <c r="P24" i="23"/>
  <c r="P9" i="23" s="1"/>
  <c r="U24" i="23"/>
  <c r="U9" i="23" s="1"/>
  <c r="Z24" i="23"/>
  <c r="Z9" i="23" s="1"/>
  <c r="O19" i="23"/>
  <c r="O7" i="23" s="1"/>
  <c r="T19" i="23"/>
  <c r="Y19" i="23"/>
  <c r="Y7" i="23" s="1"/>
  <c r="P26" i="23"/>
  <c r="P10" i="23" s="1"/>
  <c r="U26" i="23"/>
  <c r="U10" i="23" s="1"/>
  <c r="Z26" i="23"/>
  <c r="Z10" i="23" s="1"/>
  <c r="P31" i="23"/>
  <c r="U31" i="23"/>
  <c r="Z31" i="23"/>
  <c r="Z12" i="23" s="1"/>
  <c r="H27" i="23"/>
  <c r="M27" i="23"/>
  <c r="M11" i="23" s="1"/>
  <c r="R27" i="23"/>
  <c r="R11" i="23" s="1"/>
  <c r="W27" i="23"/>
  <c r="W11" i="23" s="1"/>
  <c r="AB27" i="23"/>
  <c r="AB11" i="23" s="1"/>
  <c r="E23" i="23"/>
  <c r="E9" i="23" s="1"/>
  <c r="Y23" i="23"/>
  <c r="Y9" i="23" s="1"/>
  <c r="O23" i="23"/>
  <c r="O9" i="23" s="1"/>
  <c r="T23" i="23"/>
  <c r="T9" i="23" s="1"/>
  <c r="N22" i="23"/>
  <c r="N9" i="23" s="1"/>
  <c r="S22" i="23"/>
  <c r="S9" i="23" s="1"/>
  <c r="X22" i="23"/>
  <c r="X9" i="23" s="1"/>
  <c r="I18" i="23"/>
  <c r="Z13" i="23"/>
  <c r="W12" i="23"/>
  <c r="X13" i="23"/>
  <c r="X7" i="23"/>
  <c r="T10" i="23"/>
  <c r="R13" i="23"/>
  <c r="J23" i="23"/>
  <c r="J9" i="23" s="1"/>
  <c r="AI67" i="20" s="1"/>
  <c r="T7" i="23"/>
  <c r="P12" i="23"/>
  <c r="U12" i="23"/>
  <c r="D18" i="23"/>
  <c r="D7" i="23" s="1"/>
  <c r="AG72" i="20"/>
  <c r="AH72" i="20"/>
  <c r="AJ66" i="20"/>
  <c r="AJ72" i="20"/>
  <c r="AI72" i="20"/>
  <c r="I28" i="23"/>
  <c r="I11" i="23" s="1"/>
  <c r="D28" i="23"/>
  <c r="H11" i="23"/>
  <c r="C27" i="23"/>
  <c r="C11" i="23" s="1"/>
  <c r="H29" i="23"/>
  <c r="H12" i="23" s="1"/>
  <c r="F26" i="23"/>
  <c r="F10" i="23" s="1"/>
  <c r="K26" i="23"/>
  <c r="K10" i="23" s="1"/>
  <c r="K31" i="23"/>
  <c r="K12" i="23" s="1"/>
  <c r="F31" i="23"/>
  <c r="F12" i="23" s="1"/>
  <c r="J25" i="23"/>
  <c r="J10" i="23" s="1"/>
  <c r="E25" i="23"/>
  <c r="E10" i="23" s="1"/>
  <c r="D30" i="23"/>
  <c r="D12" i="23" s="1"/>
  <c r="I30" i="23"/>
  <c r="I12" i="23" s="1"/>
  <c r="I7" i="23"/>
  <c r="I22" i="23"/>
  <c r="I9" i="23" s="1"/>
  <c r="D22" i="23"/>
  <c r="D9" i="23" s="1"/>
  <c r="C21" i="23"/>
  <c r="C9" i="23" s="1"/>
  <c r="H21" i="23"/>
  <c r="H9" i="23" s="1"/>
  <c r="F24" i="23"/>
  <c r="F9" i="23" s="1"/>
  <c r="K24" i="23"/>
  <c r="K9" i="23" s="1"/>
  <c r="J19" i="23"/>
  <c r="J7" i="23" s="1"/>
  <c r="E19" i="23"/>
  <c r="E7" i="23" s="1"/>
  <c r="I33" i="23"/>
  <c r="I13" i="23" s="1"/>
  <c r="D33" i="23"/>
  <c r="D13" i="23" s="1"/>
  <c r="C32" i="23"/>
  <c r="C13" i="23" s="1"/>
  <c r="H32" i="23"/>
  <c r="H13" i="23" s="1"/>
  <c r="E13" i="23"/>
  <c r="J34" i="23"/>
  <c r="J13" i="23" s="1"/>
  <c r="K35" i="23"/>
  <c r="K13" i="23" s="1"/>
  <c r="F35" i="23"/>
  <c r="F13" i="23" s="1"/>
  <c r="F14" i="23"/>
  <c r="E14" i="23"/>
  <c r="D14" i="23"/>
  <c r="C14" i="23"/>
  <c r="D11" i="23"/>
  <c r="F8" i="23"/>
  <c r="AO70" i="20" l="1"/>
  <c r="AN65" i="20"/>
  <c r="AM71" i="20"/>
  <c r="AR65" i="20"/>
  <c r="AR69" i="20"/>
  <c r="AR70" i="20"/>
  <c r="AS71" i="20"/>
  <c r="AQ71" i="20"/>
  <c r="AR67" i="20"/>
  <c r="AQ67" i="20"/>
  <c r="AQ70" i="20"/>
  <c r="AT71" i="20"/>
  <c r="AS67" i="20"/>
  <c r="AQ69" i="20"/>
  <c r="AT68" i="20"/>
  <c r="AT67" i="20"/>
  <c r="AS68" i="20"/>
  <c r="BB69" i="20"/>
  <c r="AV69" i="20"/>
  <c r="AV70" i="20"/>
  <c r="AY71" i="20"/>
  <c r="AT70" i="20"/>
  <c r="AS65" i="20"/>
  <c r="AR71" i="20"/>
  <c r="AM65" i="20"/>
  <c r="AM69" i="20"/>
  <c r="AM70" i="20"/>
  <c r="AN71" i="20"/>
  <c r="AL71" i="20"/>
  <c r="AM67" i="20"/>
  <c r="AL67" i="20"/>
  <c r="AL70" i="20"/>
  <c r="AO71" i="20"/>
  <c r="AN67" i="20"/>
  <c r="AL69" i="20"/>
  <c r="AO68" i="20"/>
  <c r="AO67" i="20"/>
  <c r="AN68" i="20"/>
  <c r="AX67" i="20"/>
  <c r="AV67" i="20"/>
  <c r="AW65" i="20"/>
  <c r="AW69" i="20"/>
  <c r="AW70" i="20"/>
  <c r="AX65" i="20"/>
  <c r="AY67" i="20"/>
  <c r="AX68" i="20"/>
  <c r="AW71" i="20"/>
  <c r="AY70" i="20"/>
  <c r="AY68" i="20"/>
  <c r="AX71" i="20"/>
  <c r="AV71" i="20"/>
  <c r="AW67" i="20"/>
  <c r="BA69" i="20"/>
  <c r="AC69" i="20"/>
  <c r="AE71" i="20"/>
  <c r="AG71" i="20"/>
  <c r="AD65" i="20"/>
  <c r="AG67" i="20"/>
  <c r="AE66" i="20"/>
  <c r="AB71" i="20"/>
  <c r="AC72" i="20"/>
  <c r="AE72" i="20"/>
  <c r="AJ71" i="20"/>
  <c r="AD71" i="20"/>
  <c r="AH71" i="20"/>
  <c r="AI65" i="20"/>
  <c r="AE67" i="20"/>
  <c r="AB67" i="20"/>
  <c r="AH67" i="20"/>
  <c r="AC65" i="20"/>
  <c r="AG69" i="20"/>
  <c r="AH69" i="20"/>
  <c r="AD67" i="20"/>
  <c r="AB72" i="20"/>
  <c r="AD72" i="20"/>
  <c r="AI71" i="20"/>
  <c r="AC71" i="20"/>
  <c r="AJ67" i="20"/>
  <c r="AC67" i="20"/>
  <c r="AH65" i="20"/>
  <c r="AB69" i="20"/>
  <c r="AD68" i="20"/>
  <c r="AC70" i="20"/>
  <c r="AE68" i="20"/>
  <c r="AB70" i="20"/>
  <c r="AI68" i="20"/>
  <c r="AJ70" i="20"/>
  <c r="AG70" i="20"/>
  <c r="AH70" i="20"/>
  <c r="AE70" i="20"/>
  <c r="AJ68" i="20"/>
  <c r="X133" i="20"/>
  <c r="W133" i="20"/>
  <c r="V133" i="20"/>
  <c r="U133" i="20"/>
  <c r="BG46" i="22"/>
  <c r="BG43" i="22"/>
  <c r="BG41" i="22"/>
  <c r="BG39" i="22"/>
  <c r="BG37" i="22"/>
  <c r="BG36" i="22"/>
  <c r="BG35" i="22"/>
  <c r="BG34" i="22"/>
  <c r="BG32" i="22"/>
  <c r="BG31" i="22"/>
  <c r="BG30" i="22"/>
  <c r="BG29" i="22"/>
  <c r="BG28" i="22"/>
  <c r="BG27" i="22"/>
  <c r="BG26" i="22"/>
  <c r="BG25" i="22"/>
  <c r="BP24" i="22"/>
  <c r="BO24" i="22"/>
  <c r="BN24" i="22"/>
  <c r="BM24" i="22"/>
  <c r="BL24" i="22"/>
  <c r="C265" i="22" l="1"/>
  <c r="C194" i="22"/>
  <c r="C185" i="22"/>
  <c r="F182" i="22"/>
  <c r="F180" i="22"/>
  <c r="F181" i="22" s="1"/>
  <c r="F185" i="22" s="1"/>
  <c r="BV177" i="22"/>
  <c r="BU177" i="22"/>
  <c r="BT177" i="22"/>
  <c r="BS177" i="22"/>
  <c r="BR177" i="22"/>
  <c r="BP177" i="22"/>
  <c r="BO177" i="22"/>
  <c r="BN177" i="22"/>
  <c r="BM177" i="22"/>
  <c r="BL177" i="22"/>
  <c r="BV174" i="22"/>
  <c r="BU174" i="22"/>
  <c r="BT174" i="22"/>
  <c r="BS174" i="22"/>
  <c r="BR174" i="22"/>
  <c r="BP174" i="22"/>
  <c r="BO174" i="22"/>
  <c r="BN174" i="22"/>
  <c r="BM174" i="22"/>
  <c r="BL174" i="22"/>
  <c r="BV171" i="22"/>
  <c r="BU171" i="22"/>
  <c r="BT171" i="22"/>
  <c r="BS171" i="22"/>
  <c r="BR171" i="22"/>
  <c r="BP171" i="22"/>
  <c r="BO171" i="22"/>
  <c r="BN171" i="22"/>
  <c r="BM171" i="22"/>
  <c r="BL171" i="22"/>
  <c r="BV168" i="22"/>
  <c r="BU168" i="22"/>
  <c r="BT168" i="22"/>
  <c r="BS168" i="22"/>
  <c r="BR168" i="22"/>
  <c r="BP168" i="22"/>
  <c r="BO168" i="22"/>
  <c r="BN168" i="22"/>
  <c r="BL168" i="22"/>
  <c r="BV166" i="22"/>
  <c r="BU166" i="22"/>
  <c r="BT166" i="22"/>
  <c r="BS166" i="22"/>
  <c r="BR166" i="22"/>
  <c r="BP166" i="22"/>
  <c r="BO166" i="22"/>
  <c r="BN166" i="22"/>
  <c r="BM166" i="22"/>
  <c r="BL166" i="22"/>
  <c r="BV165" i="22"/>
  <c r="BU165" i="22"/>
  <c r="BT165" i="22"/>
  <c r="BS165" i="22"/>
  <c r="BR165" i="22"/>
  <c r="BP165" i="22"/>
  <c r="BO165" i="22"/>
  <c r="BN165" i="22"/>
  <c r="BM165" i="22"/>
  <c r="BL165" i="22"/>
  <c r="BV164" i="22"/>
  <c r="BU164" i="22"/>
  <c r="BT164" i="22"/>
  <c r="BS164" i="22"/>
  <c r="BR164" i="22"/>
  <c r="BP164" i="22"/>
  <c r="BO164" i="22"/>
  <c r="BN164" i="22"/>
  <c r="BM164" i="22"/>
  <c r="BL164" i="22"/>
  <c r="BV163" i="22"/>
  <c r="BU163" i="22"/>
  <c r="BT163" i="22"/>
  <c r="BS163" i="22"/>
  <c r="BR163" i="22"/>
  <c r="BP163" i="22"/>
  <c r="BO163" i="22"/>
  <c r="BN163" i="22"/>
  <c r="BM163" i="22"/>
  <c r="BL163" i="22"/>
  <c r="BV162" i="22"/>
  <c r="BU162" i="22"/>
  <c r="BT162" i="22"/>
  <c r="BS162" i="22"/>
  <c r="BR162" i="22"/>
  <c r="BP162" i="22"/>
  <c r="BO162" i="22"/>
  <c r="BN162" i="22"/>
  <c r="BM162" i="22"/>
  <c r="BL162" i="22"/>
  <c r="BV161" i="22"/>
  <c r="BU161" i="22"/>
  <c r="BT161" i="22"/>
  <c r="BS161" i="22"/>
  <c r="BR161" i="22"/>
  <c r="BP161" i="22"/>
  <c r="BO161" i="22"/>
  <c r="BN161" i="22"/>
  <c r="BM161" i="22"/>
  <c r="BL161" i="22"/>
  <c r="BV159" i="22"/>
  <c r="BU159" i="22"/>
  <c r="BT159" i="22"/>
  <c r="BS159" i="22"/>
  <c r="BR159" i="22"/>
  <c r="BP159" i="22"/>
  <c r="BO159" i="22"/>
  <c r="BN159" i="22"/>
  <c r="BM159" i="22"/>
  <c r="BL159" i="22"/>
  <c r="BV158" i="22"/>
  <c r="BU158" i="22"/>
  <c r="BT158" i="22"/>
  <c r="BS158" i="22"/>
  <c r="BR158" i="22"/>
  <c r="BP158" i="22"/>
  <c r="BO158" i="22"/>
  <c r="BN158" i="22"/>
  <c r="BM158" i="22"/>
  <c r="BL158" i="22"/>
  <c r="BV157" i="22"/>
  <c r="BU157" i="22"/>
  <c r="BT157" i="22"/>
  <c r="BS157" i="22"/>
  <c r="BR157" i="22"/>
  <c r="BP157" i="22"/>
  <c r="BO157" i="22"/>
  <c r="BN157" i="22"/>
  <c r="BM157" i="22"/>
  <c r="BL157" i="22"/>
  <c r="BV156" i="22"/>
  <c r="BU156" i="22"/>
  <c r="BT156" i="22"/>
  <c r="BS156" i="22"/>
  <c r="BR156" i="22"/>
  <c r="BP156" i="22"/>
  <c r="BO156" i="22"/>
  <c r="BN156" i="22"/>
  <c r="BM156" i="22"/>
  <c r="BL156" i="22"/>
  <c r="BV154" i="22"/>
  <c r="BU154" i="22"/>
  <c r="BT154" i="22"/>
  <c r="BS154" i="22"/>
  <c r="BR154" i="22"/>
  <c r="BP154" i="22"/>
  <c r="BO154" i="22"/>
  <c r="BN154" i="22"/>
  <c r="BM154" i="22"/>
  <c r="BL154" i="22"/>
  <c r="BV153" i="22"/>
  <c r="BU153" i="22"/>
  <c r="BT153" i="22"/>
  <c r="BS153" i="22"/>
  <c r="BR153" i="22"/>
  <c r="BP153" i="22"/>
  <c r="BO153" i="22"/>
  <c r="BN153" i="22"/>
  <c r="BM153" i="22"/>
  <c r="BL153" i="22"/>
  <c r="BV152" i="22"/>
  <c r="BU152" i="22"/>
  <c r="BT152" i="22"/>
  <c r="BS152" i="22"/>
  <c r="BR152" i="22"/>
  <c r="BP152" i="22"/>
  <c r="BO152" i="22"/>
  <c r="BN152" i="22"/>
  <c r="BM152" i="22"/>
  <c r="BL152" i="22"/>
  <c r="BV151" i="22"/>
  <c r="BU151" i="22"/>
  <c r="BT151" i="22"/>
  <c r="BP151" i="22"/>
  <c r="BO151" i="22"/>
  <c r="BN151" i="22"/>
  <c r="BM151" i="22"/>
  <c r="BL151" i="22"/>
  <c r="BV148" i="22"/>
  <c r="BU148" i="22"/>
  <c r="BT148" i="22"/>
  <c r="BS148" i="22"/>
  <c r="BR148" i="22"/>
  <c r="BV146" i="22"/>
  <c r="BU146" i="22"/>
  <c r="BT146" i="22"/>
  <c r="BS146" i="22"/>
  <c r="BR146" i="22"/>
  <c r="BV145" i="22"/>
  <c r="BU145" i="22"/>
  <c r="BT145" i="22"/>
  <c r="BS145" i="22"/>
  <c r="BR145" i="22"/>
  <c r="BV144" i="22"/>
  <c r="BU144" i="22"/>
  <c r="BT144" i="22"/>
  <c r="BS144" i="22"/>
  <c r="BR144" i="22"/>
  <c r="BV142" i="22"/>
  <c r="BU142" i="22"/>
  <c r="BT142" i="22"/>
  <c r="BS142" i="22"/>
  <c r="BR142" i="22"/>
  <c r="BV141" i="22"/>
  <c r="BU141" i="22"/>
  <c r="BT141" i="22"/>
  <c r="BS141" i="22"/>
  <c r="BR141" i="22"/>
  <c r="BV140" i="22"/>
  <c r="BU140" i="22"/>
  <c r="BT140" i="22"/>
  <c r="BS140" i="22"/>
  <c r="BR140" i="22"/>
  <c r="BV138" i="22"/>
  <c r="BU138" i="22"/>
  <c r="BT138" i="22"/>
  <c r="BS138" i="22"/>
  <c r="BR138" i="22"/>
  <c r="BV137" i="22"/>
  <c r="BU137" i="22"/>
  <c r="BT137" i="22"/>
  <c r="BS137" i="22"/>
  <c r="BR137" i="22"/>
  <c r="BV136" i="22"/>
  <c r="BU136" i="22"/>
  <c r="BT136" i="22"/>
  <c r="BS136" i="22"/>
  <c r="BR136" i="22"/>
  <c r="BV134" i="22"/>
  <c r="BU134" i="22"/>
  <c r="BT134" i="22"/>
  <c r="BS134" i="22"/>
  <c r="BR134" i="22"/>
  <c r="BV133" i="22"/>
  <c r="BU133" i="22"/>
  <c r="BT133" i="22"/>
  <c r="BS133" i="22"/>
  <c r="BR133" i="22"/>
  <c r="BV132" i="22"/>
  <c r="BU132" i="22"/>
  <c r="BT132" i="22"/>
  <c r="BS132" i="22"/>
  <c r="BR132" i="22"/>
  <c r="BV130" i="22"/>
  <c r="BU130" i="22"/>
  <c r="BT130" i="22"/>
  <c r="BS130" i="22"/>
  <c r="BR130" i="22"/>
  <c r="BV129" i="22"/>
  <c r="BU129" i="22"/>
  <c r="BT129" i="22"/>
  <c r="BS129" i="22"/>
  <c r="BR129" i="22"/>
  <c r="BV128" i="22"/>
  <c r="BU128" i="22"/>
  <c r="BT128" i="22"/>
  <c r="BS128" i="22"/>
  <c r="BR128" i="22"/>
  <c r="BV126" i="22"/>
  <c r="BU126" i="22"/>
  <c r="BT126" i="22"/>
  <c r="BS126" i="22"/>
  <c r="BR126" i="22"/>
  <c r="BV125" i="22"/>
  <c r="BU125" i="22"/>
  <c r="BT125" i="22"/>
  <c r="BS125" i="22"/>
  <c r="BR125" i="22"/>
  <c r="BV124" i="22"/>
  <c r="BU124" i="22"/>
  <c r="BT124" i="22"/>
  <c r="BS124" i="22"/>
  <c r="BR124" i="22"/>
  <c r="BV123" i="22"/>
  <c r="BU123" i="22"/>
  <c r="BT123" i="22"/>
  <c r="BS123" i="22"/>
  <c r="BR123" i="22"/>
  <c r="BV122" i="22"/>
  <c r="BU122" i="22"/>
  <c r="BT122" i="22"/>
  <c r="BS122" i="22"/>
  <c r="BR122" i="22"/>
  <c r="BV120" i="22"/>
  <c r="BU120" i="22"/>
  <c r="BT120" i="22"/>
  <c r="BS120" i="22"/>
  <c r="BR120" i="22"/>
  <c r="BV119" i="22"/>
  <c r="BU119" i="22"/>
  <c r="BT119" i="22"/>
  <c r="BS119" i="22"/>
  <c r="BR119" i="22"/>
  <c r="BV118" i="22"/>
  <c r="BU118" i="22"/>
  <c r="BT118" i="22"/>
  <c r="BS118" i="22"/>
  <c r="BR118" i="22"/>
  <c r="BV117" i="22"/>
  <c r="BU117" i="22"/>
  <c r="BT117" i="22"/>
  <c r="BS117" i="22"/>
  <c r="BR117" i="22"/>
  <c r="BP116" i="22"/>
  <c r="BO116" i="22"/>
  <c r="BN116" i="22"/>
  <c r="BM116" i="22"/>
  <c r="BL116" i="22"/>
  <c r="C114" i="22"/>
  <c r="F11" i="22"/>
  <c r="C8" i="22" s="1"/>
  <c r="F10" i="22"/>
  <c r="C50" i="22" s="1"/>
  <c r="F47" i="22"/>
  <c r="F45" i="22"/>
  <c r="F46" i="22" s="1"/>
  <c r="C23" i="22"/>
  <c r="O97" i="22"/>
  <c r="N97" i="22"/>
  <c r="M97" i="22"/>
  <c r="L97" i="22"/>
  <c r="K97" i="22"/>
  <c r="J97" i="22"/>
  <c r="C265" i="20"/>
  <c r="BP45" i="20"/>
  <c r="BO45" i="20"/>
  <c r="BN45" i="20"/>
  <c r="BL45" i="20"/>
  <c r="BL43" i="20"/>
  <c r="BL43" i="22" s="1"/>
  <c r="BG43" i="20"/>
  <c r="C185" i="20"/>
  <c r="O97" i="20"/>
  <c r="N97" i="20"/>
  <c r="M97" i="20"/>
  <c r="L97" i="20"/>
  <c r="C98" i="20"/>
  <c r="C50" i="20"/>
  <c r="J114" i="20"/>
  <c r="J93" i="20"/>
  <c r="O23" i="20"/>
  <c r="K97" i="20"/>
  <c r="C62" i="22" l="1"/>
  <c r="K93" i="20"/>
  <c r="O93" i="20"/>
  <c r="O114" i="20"/>
  <c r="K114" i="20"/>
  <c r="C98" i="22"/>
  <c r="F50" i="22"/>
  <c r="C194" i="20"/>
  <c r="C114" i="20"/>
  <c r="C62" i="20"/>
  <c r="C8" i="20"/>
  <c r="C23" i="20"/>
  <c r="J89" i="20"/>
  <c r="J88" i="20"/>
  <c r="J87" i="20"/>
  <c r="J85" i="20"/>
  <c r="J84" i="20"/>
  <c r="BP24" i="20"/>
  <c r="BO24" i="20"/>
  <c r="BN24" i="20"/>
  <c r="BM24" i="20"/>
  <c r="BL24" i="20"/>
  <c r="BP63" i="20"/>
  <c r="BO63" i="20"/>
  <c r="BN63" i="20"/>
  <c r="BM63" i="20"/>
  <c r="BL63" i="20"/>
  <c r="BJ116" i="22" l="1"/>
  <c r="Z116" i="22" s="1"/>
  <c r="Z177" i="22" s="1"/>
  <c r="T177" i="22" s="1"/>
  <c r="J97" i="20"/>
  <c r="T77" i="20"/>
  <c r="Z125" i="22" l="1"/>
  <c r="Z148" i="22"/>
  <c r="Z164" i="22"/>
  <c r="Z119" i="22"/>
  <c r="Z134" i="22"/>
  <c r="T134" i="22" s="1"/>
  <c r="D214" i="22" s="1"/>
  <c r="Z154" i="22"/>
  <c r="Z128" i="22"/>
  <c r="T128" i="22" s="1"/>
  <c r="D208" i="22" s="1"/>
  <c r="Z137" i="22"/>
  <c r="Z146" i="22"/>
  <c r="Z117" i="22"/>
  <c r="Z123" i="22"/>
  <c r="T123" i="22" s="1"/>
  <c r="D203" i="22" s="1"/>
  <c r="Z132" i="22"/>
  <c r="T132" i="22" s="1"/>
  <c r="D212" i="22" s="1"/>
  <c r="Z141" i="22"/>
  <c r="Z152" i="22"/>
  <c r="T152" i="22" s="1"/>
  <c r="D232" i="22" s="1"/>
  <c r="Z162" i="22"/>
  <c r="T162" i="22" s="1"/>
  <c r="Z166" i="22"/>
  <c r="T166" i="22" s="1"/>
  <c r="Z130" i="22"/>
  <c r="Z144" i="22"/>
  <c r="T144" i="22" s="1"/>
  <c r="D224" i="22" s="1"/>
  <c r="Z171" i="22"/>
  <c r="T171" i="22" s="1"/>
  <c r="Z118" i="22"/>
  <c r="Z122" i="22"/>
  <c r="T122" i="22" s="1"/>
  <c r="D202" i="22" s="1"/>
  <c r="Z124" i="22"/>
  <c r="Z126" i="22"/>
  <c r="T126" i="22" s="1"/>
  <c r="D206" i="22" s="1"/>
  <c r="Z133" i="22"/>
  <c r="Z140" i="22"/>
  <c r="T140" i="22" s="1"/>
  <c r="D220" i="22" s="1"/>
  <c r="Z142" i="22"/>
  <c r="Z151" i="22"/>
  <c r="T151" i="22" s="1"/>
  <c r="D231" i="22" s="1"/>
  <c r="Z153" i="22"/>
  <c r="Z161" i="22"/>
  <c r="T161" i="22" s="1"/>
  <c r="Z163" i="22"/>
  <c r="Z165" i="22"/>
  <c r="T165" i="22" s="1"/>
  <c r="Z120" i="22"/>
  <c r="Z129" i="22"/>
  <c r="T129" i="22" s="1"/>
  <c r="D209" i="22" s="1"/>
  <c r="Z136" i="22"/>
  <c r="Z138" i="22"/>
  <c r="T138" i="22" s="1"/>
  <c r="D218" i="22" s="1"/>
  <c r="Z145" i="22"/>
  <c r="Z168" i="22"/>
  <c r="T168" i="22" s="1"/>
  <c r="Z174" i="22"/>
  <c r="D257" i="22"/>
  <c r="T177" i="20"/>
  <c r="T119" i="22"/>
  <c r="D199" i="22" s="1"/>
  <c r="T125" i="22"/>
  <c r="D205" i="22" s="1"/>
  <c r="T141" i="22"/>
  <c r="D221" i="22" s="1"/>
  <c r="T148" i="22"/>
  <c r="D228" i="22" s="1"/>
  <c r="T154" i="22"/>
  <c r="D234" i="22" s="1"/>
  <c r="T164" i="22"/>
  <c r="T130" i="22"/>
  <c r="D210" i="22" s="1"/>
  <c r="T137" i="22"/>
  <c r="D217" i="22" s="1"/>
  <c r="T146" i="22"/>
  <c r="D226" i="22" s="1"/>
  <c r="T118" i="22"/>
  <c r="D198" i="22" s="1"/>
  <c r="T124" i="22"/>
  <c r="D204" i="22" s="1"/>
  <c r="T133" i="22"/>
  <c r="D213" i="22" s="1"/>
  <c r="T142" i="22"/>
  <c r="D222" i="22" s="1"/>
  <c r="T153" i="22"/>
  <c r="D233" i="22" s="1"/>
  <c r="T163" i="22"/>
  <c r="T120" i="22"/>
  <c r="D200" i="22" s="1"/>
  <c r="T136" i="22"/>
  <c r="D216" i="22" s="1"/>
  <c r="T145" i="22"/>
  <c r="D225" i="22" s="1"/>
  <c r="T174" i="22"/>
  <c r="BM168" i="20"/>
  <c r="BM168" i="22" s="1"/>
  <c r="BM148" i="20"/>
  <c r="BM148" i="22" s="1"/>
  <c r="BM146" i="20"/>
  <c r="BM146" i="22" s="1"/>
  <c r="BM145" i="20"/>
  <c r="BM145" i="22" s="1"/>
  <c r="BM144" i="20"/>
  <c r="BM144" i="22" s="1"/>
  <c r="BM142" i="20"/>
  <c r="BM142" i="22" s="1"/>
  <c r="BM141" i="20"/>
  <c r="BM141" i="22" s="1"/>
  <c r="BM140" i="20"/>
  <c r="BM140" i="22" s="1"/>
  <c r="BM138" i="20"/>
  <c r="BM138" i="22" s="1"/>
  <c r="BM137" i="20"/>
  <c r="BM137" i="22" s="1"/>
  <c r="BM136" i="20"/>
  <c r="BM136" i="22" s="1"/>
  <c r="BM134" i="20"/>
  <c r="BM134" i="22" s="1"/>
  <c r="BM133" i="20"/>
  <c r="BM133" i="22" s="1"/>
  <c r="BM132" i="20"/>
  <c r="BM132" i="22" s="1"/>
  <c r="BM130" i="20"/>
  <c r="BM130" i="22" s="1"/>
  <c r="BM129" i="20"/>
  <c r="BM129" i="22" s="1"/>
  <c r="BM128" i="20"/>
  <c r="BM128" i="22" s="1"/>
  <c r="BM126" i="20"/>
  <c r="BM126" i="22" s="1"/>
  <c r="BM125" i="20"/>
  <c r="BM125" i="22" s="1"/>
  <c r="BM124" i="20"/>
  <c r="BM124" i="22" s="1"/>
  <c r="BM123" i="20"/>
  <c r="BM123" i="22" s="1"/>
  <c r="BM122" i="20"/>
  <c r="BM122" i="22" s="1"/>
  <c r="BM120" i="20"/>
  <c r="BM120" i="22" s="1"/>
  <c r="BM119" i="20"/>
  <c r="BM119" i="22" s="1"/>
  <c r="BM117" i="20"/>
  <c r="BM117" i="22" s="1"/>
  <c r="BM118" i="20"/>
  <c r="BM118" i="22" s="1"/>
  <c r="BM19" i="20"/>
  <c r="BM18" i="20"/>
  <c r="BM17" i="20"/>
  <c r="BM27" i="20" s="1"/>
  <c r="BM27" i="22" s="1"/>
  <c r="BM16" i="20"/>
  <c r="BM13" i="20"/>
  <c r="BJ11" i="20" s="1"/>
  <c r="T117" i="22" l="1"/>
  <c r="D197" i="22" s="1"/>
  <c r="D248" i="22"/>
  <c r="T168" i="20"/>
  <c r="D245" i="22"/>
  <c r="T165" i="20"/>
  <c r="D241" i="22"/>
  <c r="T161" i="20"/>
  <c r="D251" i="22"/>
  <c r="T171" i="20"/>
  <c r="D246" i="22"/>
  <c r="T166" i="20"/>
  <c r="D242" i="22"/>
  <c r="T162" i="20"/>
  <c r="D254" i="22"/>
  <c r="T174" i="20"/>
  <c r="D243" i="22"/>
  <c r="T163" i="20"/>
  <c r="D244" i="22"/>
  <c r="T164" i="20"/>
  <c r="BM28" i="20"/>
  <c r="BM28" i="22" s="1"/>
  <c r="BM45" i="20"/>
  <c r="BJ24" i="20"/>
  <c r="BJ84" i="20"/>
  <c r="G84" i="20" s="1"/>
  <c r="AJ24" i="20"/>
  <c r="BJ88" i="20"/>
  <c r="G88" i="20" s="1"/>
  <c r="BJ89" i="20"/>
  <c r="G89" i="20" s="1"/>
  <c r="BJ85" i="20"/>
  <c r="G85" i="20" s="1"/>
  <c r="BJ63" i="20"/>
  <c r="BJ86" i="20"/>
  <c r="G86" i="20" s="1"/>
  <c r="BJ87" i="20"/>
  <c r="G87" i="20" s="1"/>
  <c r="BJ81" i="20"/>
  <c r="G81" i="20" s="1"/>
  <c r="BJ78" i="20"/>
  <c r="G78" i="20" s="1"/>
  <c r="BJ75" i="20"/>
  <c r="G75" i="20" s="1"/>
  <c r="BJ82" i="20"/>
  <c r="G82" i="20" s="1"/>
  <c r="BJ76" i="20"/>
  <c r="G76" i="20" s="1"/>
  <c r="BJ74" i="20"/>
  <c r="G74" i="20" s="1"/>
  <c r="BJ79" i="20"/>
  <c r="G79" i="20" s="1"/>
  <c r="BL146" i="20"/>
  <c r="BL146" i="22" s="1"/>
  <c r="BL144" i="20"/>
  <c r="BL144" i="22" s="1"/>
  <c r="BL135" i="23" l="1"/>
  <c r="BJ135" i="23"/>
  <c r="BL132" i="23"/>
  <c r="BJ132" i="23"/>
  <c r="BL129" i="23"/>
  <c r="BJ129" i="23"/>
  <c r="BL126" i="23"/>
  <c r="BJ126" i="23"/>
  <c r="BL124" i="23"/>
  <c r="BJ124" i="23"/>
  <c r="BL123" i="23"/>
  <c r="BJ123" i="23"/>
  <c r="BL122" i="23"/>
  <c r="BJ122" i="23"/>
  <c r="BL121" i="23"/>
  <c r="BJ121" i="23"/>
  <c r="BL120" i="23"/>
  <c r="BJ120" i="23"/>
  <c r="BL119" i="23"/>
  <c r="BJ119" i="23"/>
  <c r="BL117" i="23"/>
  <c r="BJ117" i="23"/>
  <c r="BL116" i="23"/>
  <c r="BJ116" i="23"/>
  <c r="BL115" i="23"/>
  <c r="BJ115" i="23"/>
  <c r="BL114" i="23"/>
  <c r="BJ114" i="23"/>
  <c r="BL112" i="23"/>
  <c r="BJ112" i="23"/>
  <c r="BL111" i="23"/>
  <c r="BJ111" i="23"/>
  <c r="BL110" i="23"/>
  <c r="BJ110" i="23"/>
  <c r="BL109" i="23"/>
  <c r="BJ109" i="23"/>
  <c r="BL106" i="23"/>
  <c r="BJ106" i="23"/>
  <c r="BL104" i="23"/>
  <c r="BJ104" i="23"/>
  <c r="BL103" i="23"/>
  <c r="BJ103" i="23"/>
  <c r="BL102" i="23"/>
  <c r="BJ102" i="23"/>
  <c r="BL100" i="23"/>
  <c r="BJ100" i="23"/>
  <c r="BL99" i="23"/>
  <c r="BJ99" i="23"/>
  <c r="BL98" i="23"/>
  <c r="BJ98" i="23"/>
  <c r="BL96" i="23"/>
  <c r="BJ96" i="23"/>
  <c r="BL95" i="23"/>
  <c r="BJ95" i="23"/>
  <c r="BL94" i="23"/>
  <c r="BJ94" i="23"/>
  <c r="BL92" i="23"/>
  <c r="BJ92" i="23"/>
  <c r="BL91" i="23"/>
  <c r="BJ91" i="23"/>
  <c r="BL90" i="23"/>
  <c r="BJ90" i="23"/>
  <c r="BL89" i="23"/>
  <c r="BJ89" i="23"/>
  <c r="BL88" i="23"/>
  <c r="BJ88" i="23"/>
  <c r="BL87" i="23"/>
  <c r="BJ87" i="23"/>
  <c r="BL86" i="23"/>
  <c r="BJ86" i="23"/>
  <c r="BL84" i="23"/>
  <c r="BJ84" i="23"/>
  <c r="BL83" i="23"/>
  <c r="BJ83" i="23"/>
  <c r="BL82" i="23"/>
  <c r="BJ82" i="23"/>
  <c r="BL81" i="23"/>
  <c r="BJ81" i="23"/>
  <c r="BL80" i="23"/>
  <c r="BJ80" i="23"/>
  <c r="BL78" i="23"/>
  <c r="BJ78" i="23"/>
  <c r="BL77" i="23"/>
  <c r="BJ77" i="23"/>
  <c r="BL76" i="23"/>
  <c r="BJ76" i="23"/>
  <c r="BL75" i="23"/>
  <c r="BJ75" i="23"/>
  <c r="BL74" i="23"/>
  <c r="BJ74" i="23"/>
  <c r="BM17" i="23"/>
  <c r="BK17" i="23"/>
  <c r="BJ36" i="23"/>
  <c r="BL35" i="23"/>
  <c r="BJ35" i="23"/>
  <c r="AE35" i="23" s="1"/>
  <c r="AE13" i="23" s="1"/>
  <c r="BD71" i="20" s="1"/>
  <c r="BL34" i="23"/>
  <c r="BJ34" i="23"/>
  <c r="AD34" i="23" s="1"/>
  <c r="AD13" i="23" s="1"/>
  <c r="BC71" i="20" s="1"/>
  <c r="BL33" i="23"/>
  <c r="BJ33" i="23"/>
  <c r="AC33" i="23" s="1"/>
  <c r="AC13" i="23" s="1"/>
  <c r="BB71" i="20" s="1"/>
  <c r="BL32" i="23"/>
  <c r="BJ32" i="23"/>
  <c r="AB32" i="23" s="1"/>
  <c r="AB13" i="23" s="1"/>
  <c r="BA71" i="20" s="1"/>
  <c r="BL31" i="23"/>
  <c r="BJ31" i="23"/>
  <c r="AE31" i="23" s="1"/>
  <c r="AE12" i="23" s="1"/>
  <c r="BD70" i="20" s="1"/>
  <c r="BL30" i="23"/>
  <c r="BJ30" i="23"/>
  <c r="AC30" i="23" s="1"/>
  <c r="AC12" i="23" s="1"/>
  <c r="BB70" i="20" s="1"/>
  <c r="BL29" i="23"/>
  <c r="BJ29" i="23"/>
  <c r="AB29" i="23" s="1"/>
  <c r="AB12" i="23" s="1"/>
  <c r="BA70" i="20" s="1"/>
  <c r="BJ27" i="23"/>
  <c r="BL26" i="23"/>
  <c r="BJ26" i="23"/>
  <c r="AE26" i="23" s="1"/>
  <c r="AE10" i="23" s="1"/>
  <c r="BD68" i="20" s="1"/>
  <c r="BL25" i="23"/>
  <c r="BJ25" i="23"/>
  <c r="AD25" i="23" s="1"/>
  <c r="AD10" i="23" s="1"/>
  <c r="BC68" i="20" s="1"/>
  <c r="BL24" i="23"/>
  <c r="BJ24" i="23"/>
  <c r="AE24" i="23" s="1"/>
  <c r="AE9" i="23" s="1"/>
  <c r="BD67" i="20" s="1"/>
  <c r="BL23" i="23"/>
  <c r="BJ23" i="23"/>
  <c r="AD23" i="23" s="1"/>
  <c r="AD9" i="23" s="1"/>
  <c r="BC67" i="20" s="1"/>
  <c r="BL22" i="23"/>
  <c r="BJ22" i="23"/>
  <c r="AC22" i="23" s="1"/>
  <c r="AC9" i="23" s="1"/>
  <c r="BB67" i="20" s="1"/>
  <c r="BL21" i="23"/>
  <c r="BJ21" i="23"/>
  <c r="AB21" i="23" s="1"/>
  <c r="AB9" i="23" s="1"/>
  <c r="BA67" i="20" s="1"/>
  <c r="BL20" i="23"/>
  <c r="BJ20" i="23"/>
  <c r="AE20" i="23" s="1"/>
  <c r="AE8" i="23" s="1"/>
  <c r="BD66" i="20" s="1"/>
  <c r="BL19" i="23"/>
  <c r="BJ19" i="23"/>
  <c r="AD19" i="23" s="1"/>
  <c r="AD7" i="23" s="1"/>
  <c r="BC65" i="20" s="1"/>
  <c r="BL18" i="23"/>
  <c r="BJ18" i="23"/>
  <c r="AC18" i="23" s="1"/>
  <c r="AC7" i="23" s="1"/>
  <c r="BB65" i="20" s="1"/>
  <c r="BJ15" i="23"/>
  <c r="BM135" i="23"/>
  <c r="BK135" i="23"/>
  <c r="BM132" i="23"/>
  <c r="BK132" i="23"/>
  <c r="BM129" i="23"/>
  <c r="BK129" i="23"/>
  <c r="BM126" i="23"/>
  <c r="BK126" i="23"/>
  <c r="BM124" i="23"/>
  <c r="BK124" i="23"/>
  <c r="BM123" i="23"/>
  <c r="BK123" i="23"/>
  <c r="BM122" i="23"/>
  <c r="BK122" i="23"/>
  <c r="BM121" i="23"/>
  <c r="BK121" i="23"/>
  <c r="BM120" i="23"/>
  <c r="BK120" i="23"/>
  <c r="BM119" i="23"/>
  <c r="BK119" i="23"/>
  <c r="BM117" i="23"/>
  <c r="BK117" i="23"/>
  <c r="BM116" i="23"/>
  <c r="BK116" i="23"/>
  <c r="BM115" i="23"/>
  <c r="BK115" i="23"/>
  <c r="BM114" i="23"/>
  <c r="BK114" i="23"/>
  <c r="BM112" i="23"/>
  <c r="BK112" i="23"/>
  <c r="BM111" i="23"/>
  <c r="BK111" i="23"/>
  <c r="BM110" i="23"/>
  <c r="BK110" i="23"/>
  <c r="BM109" i="23"/>
  <c r="BK109" i="23"/>
  <c r="BM106" i="23"/>
  <c r="BK106" i="23"/>
  <c r="BM104" i="23"/>
  <c r="BK104" i="23"/>
  <c r="BM103" i="23"/>
  <c r="BK103" i="23"/>
  <c r="BM102" i="23"/>
  <c r="BK102" i="23"/>
  <c r="BM100" i="23"/>
  <c r="BK100" i="23"/>
  <c r="BM99" i="23"/>
  <c r="BK99" i="23"/>
  <c r="BM98" i="23"/>
  <c r="BK98" i="23"/>
  <c r="BM96" i="23"/>
  <c r="BK96" i="23"/>
  <c r="BM95" i="23"/>
  <c r="BK95" i="23"/>
  <c r="BM94" i="23"/>
  <c r="BK94" i="23"/>
  <c r="BM92" i="23"/>
  <c r="BK92" i="23"/>
  <c r="BM91" i="23"/>
  <c r="BK91" i="23"/>
  <c r="BM90" i="23"/>
  <c r="BK90" i="23"/>
  <c r="BM89" i="23"/>
  <c r="BK89" i="23"/>
  <c r="BM88" i="23"/>
  <c r="BK88" i="23"/>
  <c r="BM87" i="23"/>
  <c r="BK87" i="23"/>
  <c r="BM86" i="23"/>
  <c r="BK86" i="23"/>
  <c r="BM84" i="23"/>
  <c r="BK84" i="23"/>
  <c r="BM83" i="23"/>
  <c r="BK83" i="23"/>
  <c r="BM82" i="23"/>
  <c r="BK82" i="23"/>
  <c r="BM81" i="23"/>
  <c r="BK81" i="23"/>
  <c r="BM80" i="23"/>
  <c r="BK80" i="23"/>
  <c r="BM78" i="23"/>
  <c r="BK78" i="23"/>
  <c r="BM77" i="23"/>
  <c r="BK77" i="23"/>
  <c r="BM76" i="23"/>
  <c r="BK76" i="23"/>
  <c r="BM75" i="23"/>
  <c r="BK75" i="23"/>
  <c r="BM74" i="23"/>
  <c r="BK74" i="23"/>
  <c r="BJ71" i="23"/>
  <c r="BL17" i="23"/>
  <c r="BJ17" i="23"/>
  <c r="BM35" i="23"/>
  <c r="BK35" i="23"/>
  <c r="BM34" i="23"/>
  <c r="BK34" i="23"/>
  <c r="BM33" i="23"/>
  <c r="BK33" i="23"/>
  <c r="BM32" i="23"/>
  <c r="BK32" i="23"/>
  <c r="BM31" i="23"/>
  <c r="BK31" i="23"/>
  <c r="BM30" i="23"/>
  <c r="BK30" i="23"/>
  <c r="BM29" i="23"/>
  <c r="BK29" i="23"/>
  <c r="BJ28" i="23"/>
  <c r="BM26" i="23"/>
  <c r="BK26" i="23"/>
  <c r="BM25" i="23"/>
  <c r="BK25" i="23"/>
  <c r="BM24" i="23"/>
  <c r="BK24" i="23"/>
  <c r="BM23" i="23"/>
  <c r="BK23" i="23"/>
  <c r="BM22" i="23"/>
  <c r="BK22" i="23"/>
  <c r="BM21" i="23"/>
  <c r="BK21" i="23"/>
  <c r="BM20" i="23"/>
  <c r="BK20" i="23"/>
  <c r="BM19" i="23"/>
  <c r="BK19" i="23"/>
  <c r="BM18" i="23"/>
  <c r="BK18" i="23"/>
  <c r="BN17" i="23"/>
  <c r="AB24" i="20"/>
  <c r="AB46" i="20" s="1"/>
  <c r="AO24" i="20"/>
  <c r="AM24" i="20"/>
  <c r="AU24" i="20"/>
  <c r="AS24" i="20"/>
  <c r="AQ24" i="20"/>
  <c r="AY24" i="20"/>
  <c r="AW24" i="20"/>
  <c r="BE24" i="20"/>
  <c r="BC24" i="20"/>
  <c r="BA24" i="20"/>
  <c r="AP24" i="20"/>
  <c r="AN24" i="20"/>
  <c r="AL24" i="20"/>
  <c r="AT24" i="20"/>
  <c r="AR24" i="20"/>
  <c r="AZ24" i="20"/>
  <c r="AX24" i="20"/>
  <c r="AV24" i="20"/>
  <c r="BD24" i="20"/>
  <c r="BB24" i="20"/>
  <c r="M86" i="20"/>
  <c r="F76" i="22"/>
  <c r="AB76" i="22" s="1"/>
  <c r="F81" i="22"/>
  <c r="AB81" i="22" s="1"/>
  <c r="F74" i="22"/>
  <c r="AB74" i="22" s="1"/>
  <c r="F82" i="22"/>
  <c r="AB82" i="22" s="1"/>
  <c r="AJ37" i="23" s="1"/>
  <c r="F78" i="22"/>
  <c r="AB78" i="22" s="1"/>
  <c r="F79" i="22"/>
  <c r="AB79" i="22" s="1"/>
  <c r="F75" i="22"/>
  <c r="AB75" i="22" s="1"/>
  <c r="T78" i="20"/>
  <c r="T78" i="22" s="1"/>
  <c r="M88" i="20"/>
  <c r="F88" i="22"/>
  <c r="AB88" i="22" s="1"/>
  <c r="M89" i="20"/>
  <c r="F89" i="22"/>
  <c r="AB89" i="22" s="1"/>
  <c r="M87" i="20"/>
  <c r="F87" i="22"/>
  <c r="AB87" i="22" s="1"/>
  <c r="M85" i="20"/>
  <c r="F85" i="22"/>
  <c r="AB85" i="22" s="1"/>
  <c r="M84" i="20"/>
  <c r="F84" i="22"/>
  <c r="AB84" i="22" s="1"/>
  <c r="T79" i="20"/>
  <c r="T79" i="22" s="1"/>
  <c r="AE24" i="20"/>
  <c r="AE46" i="20" s="1"/>
  <c r="AH24" i="20"/>
  <c r="AI24" i="20"/>
  <c r="AF24" i="20"/>
  <c r="AF46" i="20" s="1"/>
  <c r="AC24" i="20"/>
  <c r="AC46" i="20" s="1"/>
  <c r="AG24" i="20"/>
  <c r="AK24" i="20"/>
  <c r="AD24" i="20"/>
  <c r="AD46" i="20" s="1"/>
  <c r="T86" i="20"/>
  <c r="T86" i="22" s="1"/>
  <c r="T82" i="20"/>
  <c r="T82" i="22" s="1"/>
  <c r="T81" i="20"/>
  <c r="T81" i="22" s="1"/>
  <c r="BP47" i="20"/>
  <c r="BP47" i="22" s="1"/>
  <c r="BO47" i="20"/>
  <c r="BO47" i="22" s="1"/>
  <c r="BN47" i="20"/>
  <c r="BN47" i="22" s="1"/>
  <c r="BM47" i="20"/>
  <c r="BM47" i="22" s="1"/>
  <c r="BL47" i="20"/>
  <c r="BL47" i="22" s="1"/>
  <c r="BL116" i="20"/>
  <c r="BJ47" i="20" l="1"/>
  <c r="BJ51" i="23"/>
  <c r="BJ61" i="23" s="1"/>
  <c r="BK53" i="23"/>
  <c r="BK63" i="23" s="1"/>
  <c r="BK55" i="23"/>
  <c r="BK65" i="23" s="1"/>
  <c r="BJ55" i="23"/>
  <c r="BJ65" i="23" s="1"/>
  <c r="BK51" i="23"/>
  <c r="BM51" i="23"/>
  <c r="BM61" i="23" s="1"/>
  <c r="BL52" i="23"/>
  <c r="BL62" i="23" s="1"/>
  <c r="BL51" i="23"/>
  <c r="BL61" i="23" s="1"/>
  <c r="BN51" i="23"/>
  <c r="BN61" i="23" s="1"/>
  <c r="BK52" i="23"/>
  <c r="BK62" i="23" s="1"/>
  <c r="BJ53" i="23"/>
  <c r="BJ63" i="23" s="1"/>
  <c r="BJ52" i="23"/>
  <c r="BN55" i="23"/>
  <c r="BL55" i="23"/>
  <c r="BL65" i="23" s="1"/>
  <c r="BJ56" i="23"/>
  <c r="BJ66" i="23" s="1"/>
  <c r="BL54" i="23"/>
  <c r="BL64" i="23" s="1"/>
  <c r="BJ54" i="23"/>
  <c r="BJ64" i="23" s="1"/>
  <c r="BN54" i="23"/>
  <c r="BN64" i="23" s="1"/>
  <c r="BM54" i="23"/>
  <c r="BK54" i="23"/>
  <c r="BK64" i="23" s="1"/>
  <c r="BJ57" i="23"/>
  <c r="BJ67" i="23" s="1"/>
  <c r="BL57" i="23"/>
  <c r="BL67" i="23" s="1"/>
  <c r="BN57" i="23"/>
  <c r="BN67" i="23" s="1"/>
  <c r="BK57" i="23"/>
  <c r="BK67" i="23" s="1"/>
  <c r="BM57" i="23"/>
  <c r="BJ59" i="23"/>
  <c r="BJ49" i="23"/>
  <c r="AD36" i="23"/>
  <c r="AD14" i="23" s="1"/>
  <c r="BC72" i="20" s="1"/>
  <c r="AB36" i="23"/>
  <c r="AB14" i="23" s="1"/>
  <c r="BA72" i="20" s="1"/>
  <c r="AC36" i="23"/>
  <c r="AC14" i="23" s="1"/>
  <c r="BB72" i="20" s="1"/>
  <c r="AE36" i="23"/>
  <c r="AE14" i="23" s="1"/>
  <c r="BD72" i="20" s="1"/>
  <c r="AD37" i="23"/>
  <c r="BC72" i="22" s="1"/>
  <c r="AB37" i="23"/>
  <c r="BA72" i="22" s="1"/>
  <c r="Y37" i="23"/>
  <c r="AX72" i="22" s="1"/>
  <c r="W37" i="23"/>
  <c r="AV72" i="22" s="1"/>
  <c r="T37" i="23"/>
  <c r="AS72" i="22" s="1"/>
  <c r="R37" i="23"/>
  <c r="AQ72" i="22" s="1"/>
  <c r="O37" i="23"/>
  <c r="AN72" i="22" s="1"/>
  <c r="M37" i="23"/>
  <c r="AL72" i="22" s="1"/>
  <c r="J37" i="23"/>
  <c r="AI72" i="22" s="1"/>
  <c r="H37" i="23"/>
  <c r="AG72" i="22" s="1"/>
  <c r="E37" i="23"/>
  <c r="AD72" i="22" s="1"/>
  <c r="AE37" i="23"/>
  <c r="BD72" i="22" s="1"/>
  <c r="AC37" i="23"/>
  <c r="BB72" i="22" s="1"/>
  <c r="Z37" i="23"/>
  <c r="AY72" i="22" s="1"/>
  <c r="X37" i="23"/>
  <c r="AW72" i="22" s="1"/>
  <c r="U37" i="23"/>
  <c r="AT72" i="22" s="1"/>
  <c r="S37" i="23"/>
  <c r="AR72" i="22" s="1"/>
  <c r="P37" i="23"/>
  <c r="AO72" i="22" s="1"/>
  <c r="N37" i="23"/>
  <c r="AM72" i="22" s="1"/>
  <c r="K37" i="23"/>
  <c r="AJ72" i="22" s="1"/>
  <c r="I37" i="23"/>
  <c r="AH72" i="22" s="1"/>
  <c r="F37" i="23"/>
  <c r="AE72" i="22" s="1"/>
  <c r="D37" i="23"/>
  <c r="AC72" i="22" s="1"/>
  <c r="C37" i="23"/>
  <c r="AB72" i="22" s="1"/>
  <c r="AD47" i="20"/>
  <c r="BC46" i="20"/>
  <c r="AX46" i="20"/>
  <c r="AS46" i="20"/>
  <c r="AN46" i="20"/>
  <c r="AI46" i="20"/>
  <c r="AF47" i="20"/>
  <c r="BE46" i="20"/>
  <c r="AZ46" i="20"/>
  <c r="AU46" i="20"/>
  <c r="AP46" i="20"/>
  <c r="AK46" i="20"/>
  <c r="AG46" i="20"/>
  <c r="BA46" i="20"/>
  <c r="AV46" i="20"/>
  <c r="AQ46" i="20"/>
  <c r="AL46" i="20"/>
  <c r="AB47" i="20"/>
  <c r="BB46" i="20"/>
  <c r="AW46" i="20"/>
  <c r="AR46" i="20"/>
  <c r="AM46" i="20"/>
  <c r="AC47" i="20"/>
  <c r="AH46" i="20"/>
  <c r="BD46" i="20"/>
  <c r="AY46" i="20"/>
  <c r="AT46" i="20"/>
  <c r="AO46" i="20"/>
  <c r="AJ46" i="20"/>
  <c r="AE47" i="20"/>
  <c r="AJ64" i="23"/>
  <c r="AJ67" i="23"/>
  <c r="F86" i="22"/>
  <c r="AJ61" i="23"/>
  <c r="J84" i="22"/>
  <c r="J85" i="22"/>
  <c r="AJ62" i="23"/>
  <c r="J87" i="22"/>
  <c r="J89" i="22"/>
  <c r="AJ66" i="23"/>
  <c r="AJ65" i="23"/>
  <c r="J88" i="22"/>
  <c r="BI13" i="20"/>
  <c r="BM67" i="23" l="1"/>
  <c r="AB57" i="23"/>
  <c r="BM64" i="23"/>
  <c r="AB54" i="23"/>
  <c r="BB87" i="20" s="1"/>
  <c r="BB158" i="20" s="1"/>
  <c r="AB55" i="23"/>
  <c r="BB88" i="20" s="1"/>
  <c r="BN65" i="23"/>
  <c r="BK61" i="23"/>
  <c r="AB51" i="23"/>
  <c r="BB84" i="20" s="1"/>
  <c r="BJ62" i="23"/>
  <c r="AB52" i="23"/>
  <c r="BB85" i="20" s="1"/>
  <c r="BI26" i="20"/>
  <c r="BI46" i="20"/>
  <c r="J86" i="22"/>
  <c r="AB86" i="22"/>
  <c r="AH47" i="20"/>
  <c r="BB47" i="20"/>
  <c r="AW47" i="20"/>
  <c r="AR47" i="20"/>
  <c r="AM47" i="20"/>
  <c r="BE47" i="20"/>
  <c r="AZ47" i="20"/>
  <c r="AU47" i="20"/>
  <c r="AP47" i="20"/>
  <c r="AK47" i="20"/>
  <c r="BC47" i="20"/>
  <c r="AX47" i="20"/>
  <c r="AS47" i="20"/>
  <c r="AN47" i="20"/>
  <c r="AI47" i="20"/>
  <c r="AJ47" i="20"/>
  <c r="BD47" i="20"/>
  <c r="AY47" i="20"/>
  <c r="AT47" i="20"/>
  <c r="AO47" i="20"/>
  <c r="BA47" i="20"/>
  <c r="AV47" i="20"/>
  <c r="AQ47" i="20"/>
  <c r="AL47" i="20"/>
  <c r="AG47" i="20"/>
  <c r="H62" i="23"/>
  <c r="AH85" i="22" s="1"/>
  <c r="R62" i="23"/>
  <c r="AR85" i="22" s="1"/>
  <c r="AB62" i="23"/>
  <c r="BB85" i="22" s="1"/>
  <c r="C62" i="23"/>
  <c r="AC85" i="22" s="1"/>
  <c r="M62" i="23"/>
  <c r="AM85" i="22" s="1"/>
  <c r="W62" i="23"/>
  <c r="AW85" i="22" s="1"/>
  <c r="H64" i="23"/>
  <c r="AH87" i="22" s="1"/>
  <c r="AH158" i="22" s="1"/>
  <c r="R64" i="23"/>
  <c r="AR87" i="22" s="1"/>
  <c r="AR158" i="22" s="1"/>
  <c r="AB64" i="23"/>
  <c r="BB87" i="22" s="1"/>
  <c r="BB158" i="22" s="1"/>
  <c r="C64" i="23"/>
  <c r="AC87" i="22" s="1"/>
  <c r="AC158" i="22" s="1"/>
  <c r="M64" i="23"/>
  <c r="AM87" i="22" s="1"/>
  <c r="AM158" i="22" s="1"/>
  <c r="W64" i="23"/>
  <c r="AW87" i="22" s="1"/>
  <c r="AW158" i="22" s="1"/>
  <c r="H66" i="23"/>
  <c r="AH89" i="22" s="1"/>
  <c r="R66" i="23"/>
  <c r="AR89" i="22" s="1"/>
  <c r="AB66" i="23"/>
  <c r="BB89" i="22" s="1"/>
  <c r="C66" i="23"/>
  <c r="AC89" i="22" s="1"/>
  <c r="M66" i="23"/>
  <c r="AM89" i="22" s="1"/>
  <c r="W66" i="23"/>
  <c r="AW89" i="22" s="1"/>
  <c r="C61" i="23"/>
  <c r="AC84" i="22" s="1"/>
  <c r="M61" i="23"/>
  <c r="AM84" i="22" s="1"/>
  <c r="W61" i="23"/>
  <c r="AW84" i="22" s="1"/>
  <c r="H61" i="23"/>
  <c r="AH84" i="22" s="1"/>
  <c r="R61" i="23"/>
  <c r="AR84" i="22" s="1"/>
  <c r="AB61" i="23"/>
  <c r="BB84" i="22" s="1"/>
  <c r="C67" i="23"/>
  <c r="M67" i="23"/>
  <c r="W67" i="23"/>
  <c r="H67" i="23"/>
  <c r="R67" i="23"/>
  <c r="AB67" i="23"/>
  <c r="C65" i="23"/>
  <c r="AC88" i="22" s="1"/>
  <c r="M65" i="23"/>
  <c r="AM88" i="22" s="1"/>
  <c r="W65" i="23"/>
  <c r="AW88" i="22" s="1"/>
  <c r="H65" i="23"/>
  <c r="AH88" i="22" s="1"/>
  <c r="R65" i="23"/>
  <c r="AR88" i="22" s="1"/>
  <c r="AB65" i="23"/>
  <c r="BB88" i="22" s="1"/>
  <c r="AJ63" i="23"/>
  <c r="BJ46" i="22"/>
  <c r="BI46" i="22" s="1"/>
  <c r="T154" i="20"/>
  <c r="T153" i="20"/>
  <c r="T152" i="20"/>
  <c r="T151" i="20"/>
  <c r="BI43" i="20"/>
  <c r="BI45" i="20"/>
  <c r="BJ45" i="20"/>
  <c r="G45" i="20" s="1"/>
  <c r="BJ16" i="20"/>
  <c r="G16" i="20" s="1"/>
  <c r="F16" i="20" s="1"/>
  <c r="BI30" i="20"/>
  <c r="BI32" i="20"/>
  <c r="BI35" i="20"/>
  <c r="BI37" i="20"/>
  <c r="BI29" i="20"/>
  <c r="BI31" i="20"/>
  <c r="BI34" i="20"/>
  <c r="BI36" i="20"/>
  <c r="BI39" i="20"/>
  <c r="BP116" i="20"/>
  <c r="BO116" i="20"/>
  <c r="BN116" i="20"/>
  <c r="BM116" i="20"/>
  <c r="BG46" i="20"/>
  <c r="BG41" i="20"/>
  <c r="BG39" i="20"/>
  <c r="BG37" i="20"/>
  <c r="BG36" i="20"/>
  <c r="BG35" i="20"/>
  <c r="BG34" i="20"/>
  <c r="BG32" i="20"/>
  <c r="BG31" i="20"/>
  <c r="BG30" i="20"/>
  <c r="BG29" i="20"/>
  <c r="BG28" i="20"/>
  <c r="BG27" i="20"/>
  <c r="BG26" i="20"/>
  <c r="BJ15" i="20"/>
  <c r="G15" i="20" s="1"/>
  <c r="F15" i="20" s="1"/>
  <c r="F13" i="22"/>
  <c r="BP148" i="20"/>
  <c r="BP148" i="22" s="1"/>
  <c r="BO148" i="22"/>
  <c r="BN148" i="22"/>
  <c r="BP146" i="20"/>
  <c r="BP146" i="22" s="1"/>
  <c r="BO146" i="22"/>
  <c r="BN146" i="22"/>
  <c r="BP145" i="20"/>
  <c r="BP145" i="22" s="1"/>
  <c r="BO145" i="22"/>
  <c r="BN145" i="22"/>
  <c r="BP144" i="20"/>
  <c r="BP144" i="22" s="1"/>
  <c r="BO144" i="22"/>
  <c r="BN144" i="22"/>
  <c r="BP142" i="20"/>
  <c r="BP142" i="22" s="1"/>
  <c r="BO142" i="22"/>
  <c r="BN142" i="22"/>
  <c r="BP141" i="20"/>
  <c r="BP141" i="22" s="1"/>
  <c r="BO141" i="22"/>
  <c r="BN141" i="22"/>
  <c r="BP140" i="20"/>
  <c r="BP140" i="22" s="1"/>
  <c r="BO140" i="20"/>
  <c r="BO140" i="22" s="1"/>
  <c r="BN140" i="22"/>
  <c r="BP138" i="20"/>
  <c r="BP138" i="22" s="1"/>
  <c r="BO138" i="22"/>
  <c r="BN138" i="22"/>
  <c r="BP137" i="20"/>
  <c r="BP137" i="22" s="1"/>
  <c r="BO137" i="22"/>
  <c r="BN137" i="22"/>
  <c r="BP136" i="20"/>
  <c r="BP136" i="22" s="1"/>
  <c r="BO136" i="22"/>
  <c r="BN136" i="22"/>
  <c r="BP134" i="20"/>
  <c r="BP134" i="22" s="1"/>
  <c r="BO134" i="22"/>
  <c r="BN134" i="22"/>
  <c r="BP133" i="20"/>
  <c r="BP133" i="22" s="1"/>
  <c r="BO133" i="22"/>
  <c r="BN133" i="22"/>
  <c r="BP132" i="20"/>
  <c r="BP132" i="22" s="1"/>
  <c r="BO132" i="22"/>
  <c r="BN132" i="22"/>
  <c r="BP130" i="20"/>
  <c r="BP130" i="22" s="1"/>
  <c r="BO130" i="22"/>
  <c r="BN130" i="22"/>
  <c r="BP129" i="20"/>
  <c r="BP129" i="22" s="1"/>
  <c r="BO129" i="22"/>
  <c r="BN129" i="22"/>
  <c r="BP128" i="20"/>
  <c r="BP128" i="22" s="1"/>
  <c r="BO128" i="22"/>
  <c r="BN128" i="22"/>
  <c r="BP126" i="20"/>
  <c r="BP126" i="22" s="1"/>
  <c r="BO126" i="22"/>
  <c r="BN126" i="20"/>
  <c r="BN126" i="22" s="1"/>
  <c r="BP125" i="20"/>
  <c r="BP125" i="22" s="1"/>
  <c r="BO125" i="22"/>
  <c r="BN125" i="22"/>
  <c r="BP124" i="20"/>
  <c r="BP124" i="22" s="1"/>
  <c r="BO124" i="22"/>
  <c r="BN124" i="22"/>
  <c r="BP123" i="20"/>
  <c r="BP123" i="22" s="1"/>
  <c r="BO123" i="22"/>
  <c r="BN123" i="22"/>
  <c r="BP122" i="20"/>
  <c r="BP122" i="22" s="1"/>
  <c r="BO122" i="22"/>
  <c r="BN122" i="22"/>
  <c r="BP120" i="20"/>
  <c r="BP120" i="22" s="1"/>
  <c r="BO120" i="22"/>
  <c r="BN120" i="20"/>
  <c r="BN120" i="22" s="1"/>
  <c r="BP119" i="20"/>
  <c r="BP119" i="22" s="1"/>
  <c r="BO119" i="22"/>
  <c r="BN119" i="20"/>
  <c r="BN119" i="22" s="1"/>
  <c r="BP118" i="20"/>
  <c r="BP118" i="22" s="1"/>
  <c r="BO118" i="22"/>
  <c r="BN118" i="22"/>
  <c r="BP117" i="20"/>
  <c r="BP117" i="22" s="1"/>
  <c r="BO117" i="22"/>
  <c r="BN117" i="20"/>
  <c r="BN117" i="22" s="1"/>
  <c r="BP46" i="20"/>
  <c r="BP46" i="22" s="1"/>
  <c r="BO46" i="20"/>
  <c r="BO46" i="22" s="1"/>
  <c r="BN46" i="20"/>
  <c r="BN46" i="22" s="1"/>
  <c r="BM46" i="20"/>
  <c r="BP43" i="20"/>
  <c r="BP43" i="22" s="1"/>
  <c r="BO43" i="20"/>
  <c r="BO43" i="22" s="1"/>
  <c r="BN43" i="20"/>
  <c r="BN43" i="22" s="1"/>
  <c r="BM43" i="20"/>
  <c r="BM43" i="22" s="1"/>
  <c r="BP41" i="20"/>
  <c r="BP41" i="22" s="1"/>
  <c r="BO41" i="20"/>
  <c r="BO41" i="22" s="1"/>
  <c r="BN41" i="20"/>
  <c r="BN41" i="22" s="1"/>
  <c r="BM41" i="20"/>
  <c r="BM41" i="22" s="1"/>
  <c r="BP39" i="20"/>
  <c r="BP39" i="22" s="1"/>
  <c r="BO39" i="20"/>
  <c r="BO39" i="22" s="1"/>
  <c r="BN39" i="20"/>
  <c r="BN39" i="22" s="1"/>
  <c r="BM39" i="20"/>
  <c r="BM39" i="22" s="1"/>
  <c r="BP37" i="20"/>
  <c r="BP37" i="22" s="1"/>
  <c r="BO37" i="20"/>
  <c r="BO37" i="22" s="1"/>
  <c r="BN37" i="20"/>
  <c r="BN37" i="22" s="1"/>
  <c r="BM37" i="20"/>
  <c r="BM37" i="22" s="1"/>
  <c r="BP36" i="20"/>
  <c r="BP36" i="22" s="1"/>
  <c r="BO36" i="20"/>
  <c r="BO36" i="22" s="1"/>
  <c r="BN36" i="20"/>
  <c r="BN36" i="22" s="1"/>
  <c r="BM36" i="20"/>
  <c r="BM36" i="22" s="1"/>
  <c r="BP35" i="20"/>
  <c r="BP35" i="22" s="1"/>
  <c r="BO35" i="20"/>
  <c r="BO35" i="22" s="1"/>
  <c r="BN35" i="20"/>
  <c r="BN35" i="22" s="1"/>
  <c r="BM35" i="20"/>
  <c r="BM35" i="22" s="1"/>
  <c r="BP34" i="20"/>
  <c r="BP34" i="22" s="1"/>
  <c r="BO34" i="20"/>
  <c r="BO34" i="22" s="1"/>
  <c r="BN34" i="20"/>
  <c r="BN34" i="22" s="1"/>
  <c r="BM34" i="20"/>
  <c r="BM34" i="22" s="1"/>
  <c r="BP32" i="20"/>
  <c r="BP32" i="22" s="1"/>
  <c r="BO32" i="20"/>
  <c r="BO32" i="22" s="1"/>
  <c r="BN32" i="20"/>
  <c r="BN32" i="22" s="1"/>
  <c r="BM32" i="20"/>
  <c r="BM32" i="22" s="1"/>
  <c r="BP31" i="20"/>
  <c r="BP31" i="22" s="1"/>
  <c r="BO31" i="20"/>
  <c r="BO31" i="22" s="1"/>
  <c r="BN31" i="20"/>
  <c r="BN31" i="22" s="1"/>
  <c r="BM31" i="20"/>
  <c r="BM31" i="22" s="1"/>
  <c r="BP30" i="20"/>
  <c r="BP30" i="22" s="1"/>
  <c r="BO30" i="20"/>
  <c r="BO30" i="22" s="1"/>
  <c r="BN30" i="20"/>
  <c r="BN30" i="22" s="1"/>
  <c r="BM30" i="20"/>
  <c r="BM30" i="22" s="1"/>
  <c r="BP29" i="20"/>
  <c r="BP29" i="22" s="1"/>
  <c r="BO29" i="20"/>
  <c r="BO29" i="22" s="1"/>
  <c r="BN29" i="20"/>
  <c r="BN29" i="22" s="1"/>
  <c r="BM29" i="20"/>
  <c r="BM29" i="22" s="1"/>
  <c r="BP28" i="20"/>
  <c r="BP28" i="22" s="1"/>
  <c r="BO28" i="22"/>
  <c r="BN28" i="22"/>
  <c r="BP27" i="20"/>
  <c r="BP27" i="22" s="1"/>
  <c r="BO27" i="22"/>
  <c r="BN27" i="22"/>
  <c r="BP26" i="20"/>
  <c r="BP26" i="22" s="1"/>
  <c r="BO26" i="20"/>
  <c r="BO26" i="22" s="1"/>
  <c r="BN26" i="20"/>
  <c r="BN26" i="22" s="1"/>
  <c r="BM26" i="20"/>
  <c r="BM26" i="22" s="1"/>
  <c r="BP25" i="20"/>
  <c r="BP25" i="22" s="1"/>
  <c r="BO25" i="20"/>
  <c r="BO25" i="22" s="1"/>
  <c r="BN25" i="20"/>
  <c r="BN25" i="22" s="1"/>
  <c r="BM25" i="20"/>
  <c r="BL25" i="22"/>
  <c r="BL148" i="20"/>
  <c r="BL148" i="22" s="1"/>
  <c r="BL145" i="20"/>
  <c r="BL145" i="22" s="1"/>
  <c r="BL142" i="20"/>
  <c r="BL142" i="22" s="1"/>
  <c r="BL140" i="20"/>
  <c r="BL140" i="22" s="1"/>
  <c r="BL141" i="20"/>
  <c r="BL141" i="22" s="1"/>
  <c r="BL138" i="20"/>
  <c r="BL138" i="22" s="1"/>
  <c r="BL137" i="20"/>
  <c r="BL137" i="22" s="1"/>
  <c r="BL136" i="20"/>
  <c r="BL136" i="22" s="1"/>
  <c r="BL134" i="20"/>
  <c r="BL134" i="22" s="1"/>
  <c r="BL133" i="20"/>
  <c r="BL133" i="22" s="1"/>
  <c r="BL132" i="20"/>
  <c r="BL132" i="22" s="1"/>
  <c r="BL130" i="20"/>
  <c r="BL130" i="22" s="1"/>
  <c r="BL129" i="20"/>
  <c r="BL129" i="22" s="1"/>
  <c r="BL128" i="20"/>
  <c r="BL128" i="22" s="1"/>
  <c r="BL126" i="20"/>
  <c r="BL126" i="22" s="1"/>
  <c r="BL125" i="20"/>
  <c r="BL125" i="22" s="1"/>
  <c r="BL124" i="20"/>
  <c r="BL124" i="22" s="1"/>
  <c r="BL123" i="20"/>
  <c r="BL123" i="22" s="1"/>
  <c r="BL122" i="20"/>
  <c r="BL122" i="22" s="1"/>
  <c r="BL120" i="20"/>
  <c r="BL120" i="22" s="1"/>
  <c r="BL119" i="20"/>
  <c r="BL119" i="22" s="1"/>
  <c r="BL118" i="20"/>
  <c r="BL118" i="22" s="1"/>
  <c r="BL117" i="20"/>
  <c r="BL117" i="22" s="1"/>
  <c r="BL46" i="20"/>
  <c r="BL46" i="22" s="1"/>
  <c r="BL41" i="20"/>
  <c r="BL41" i="22" s="1"/>
  <c r="BL39" i="20"/>
  <c r="BL39" i="22" s="1"/>
  <c r="BL37" i="20"/>
  <c r="BL37" i="22" s="1"/>
  <c r="BL36" i="20"/>
  <c r="BL36" i="22" s="1"/>
  <c r="BL35" i="20"/>
  <c r="BL35" i="22" s="1"/>
  <c r="BL34" i="20"/>
  <c r="BL34" i="22" s="1"/>
  <c r="BL32" i="20"/>
  <c r="BL32" i="22" s="1"/>
  <c r="BL31" i="20"/>
  <c r="BL31" i="22" s="1"/>
  <c r="BL30" i="20"/>
  <c r="BL30" i="22" s="1"/>
  <c r="BL29" i="20"/>
  <c r="BL29" i="22" s="1"/>
  <c r="BL28" i="20"/>
  <c r="BL28" i="22" s="1"/>
  <c r="BL26" i="22"/>
  <c r="F45" i="20" l="1"/>
  <c r="F180" i="20" s="1"/>
  <c r="F181" i="20" s="1"/>
  <c r="F184" i="20" s="1"/>
  <c r="G180" i="20"/>
  <c r="G181" i="20" s="1"/>
  <c r="G185" i="20" s="1"/>
  <c r="BB159" i="20"/>
  <c r="BB159" i="22"/>
  <c r="BB157" i="20"/>
  <c r="AR157" i="22"/>
  <c r="BI15" i="20"/>
  <c r="AW157" i="22"/>
  <c r="AC157" i="22"/>
  <c r="BB157" i="22"/>
  <c r="AH157" i="22"/>
  <c r="AM157" i="22"/>
  <c r="BJ28" i="22"/>
  <c r="BI28" i="22" s="1"/>
  <c r="F28" i="22" s="1"/>
  <c r="BL27" i="22"/>
  <c r="BJ27" i="22"/>
  <c r="BI27" i="22" s="1"/>
  <c r="F27" i="22" s="1"/>
  <c r="BJ27" i="20"/>
  <c r="G27" i="20" s="1"/>
  <c r="F27" i="20" s="1"/>
  <c r="C63" i="23"/>
  <c r="AC86" i="22" s="1"/>
  <c r="AC156" i="22" s="1"/>
  <c r="M63" i="23"/>
  <c r="AM86" i="22" s="1"/>
  <c r="AM156" i="22" s="1"/>
  <c r="W63" i="23"/>
  <c r="AW86" i="22" s="1"/>
  <c r="AW156" i="22" s="1"/>
  <c r="H63" i="23"/>
  <c r="AH86" i="22" s="1"/>
  <c r="AH156" i="22" s="1"/>
  <c r="R63" i="23"/>
  <c r="AR86" i="22" s="1"/>
  <c r="AR156" i="22" s="1"/>
  <c r="AB63" i="23"/>
  <c r="BB86" i="22" s="1"/>
  <c r="BB156" i="22" s="1"/>
  <c r="BM25" i="22"/>
  <c r="BJ25" i="20"/>
  <c r="G25" i="20" s="1"/>
  <c r="F25" i="20" s="1"/>
  <c r="BJ43" i="20"/>
  <c r="G43" i="20" s="1"/>
  <c r="F43" i="20" s="1"/>
  <c r="BJ36" i="22"/>
  <c r="BI36" i="22" s="1"/>
  <c r="F36" i="22" s="1"/>
  <c r="BJ26" i="22"/>
  <c r="BI26" i="22" s="1"/>
  <c r="F26" i="22" s="1"/>
  <c r="BJ41" i="22"/>
  <c r="BI41" i="22" s="1"/>
  <c r="F41" i="22" s="1"/>
  <c r="BJ25" i="22"/>
  <c r="BI25" i="22" s="1"/>
  <c r="F25" i="22" s="1"/>
  <c r="BJ34" i="22"/>
  <c r="BI34" i="22" s="1"/>
  <c r="F34" i="22" s="1"/>
  <c r="BJ30" i="22"/>
  <c r="BI30" i="22" s="1"/>
  <c r="F30" i="22" s="1"/>
  <c r="BM46" i="22"/>
  <c r="BJ47" i="22"/>
  <c r="BI47" i="22" s="1"/>
  <c r="BJ32" i="22"/>
  <c r="BI32" i="22" s="1"/>
  <c r="F32" i="22" s="1"/>
  <c r="BJ31" i="22"/>
  <c r="BI31" i="22" s="1"/>
  <c r="F31" i="22" s="1"/>
  <c r="BJ43" i="22"/>
  <c r="BI43" i="22" s="1"/>
  <c r="F43" i="22" s="1"/>
  <c r="BJ35" i="22"/>
  <c r="BI35" i="22" s="1"/>
  <c r="F35" i="22" s="1"/>
  <c r="BJ29" i="22"/>
  <c r="BI29" i="22" s="1"/>
  <c r="F29" i="22" s="1"/>
  <c r="BJ39" i="22"/>
  <c r="BI39" i="22" s="1"/>
  <c r="F39" i="22" s="1"/>
  <c r="BJ37" i="22"/>
  <c r="BI37" i="22" s="1"/>
  <c r="F37" i="22" s="1"/>
  <c r="F15" i="22"/>
  <c r="T74" i="20"/>
  <c r="T74" i="22" s="1"/>
  <c r="T75" i="20"/>
  <c r="T75" i="22" s="1"/>
  <c r="BJ18" i="20"/>
  <c r="G18" i="20" s="1"/>
  <c r="BJ17" i="20"/>
  <c r="G17" i="20" s="1"/>
  <c r="F17" i="20" s="1"/>
  <c r="F18" i="20" s="1"/>
  <c r="BJ19" i="20"/>
  <c r="G19" i="20" s="1"/>
  <c r="F19" i="20" s="1"/>
  <c r="BI27" i="20" l="1"/>
  <c r="F18" i="22"/>
  <c r="F19" i="22"/>
  <c r="F17" i="22"/>
  <c r="F16" i="22"/>
  <c r="BI19" i="20"/>
  <c r="T87" i="20"/>
  <c r="T87" i="22" s="1"/>
  <c r="T89" i="20"/>
  <c r="T89" i="22" s="1"/>
  <c r="T88" i="20"/>
  <c r="T88" i="22" s="1"/>
  <c r="T76" i="20"/>
  <c r="T76" i="22" s="1"/>
  <c r="T85" i="20"/>
  <c r="T85" i="22" s="1"/>
  <c r="T84" i="20"/>
  <c r="T84" i="22" s="1"/>
  <c r="BI17" i="20"/>
  <c r="BI25" i="20" s="1"/>
  <c r="BI16" i="20"/>
  <c r="BI18" i="20" l="1"/>
  <c r="BI41" i="20" s="1"/>
  <c r="BJ116" i="20"/>
  <c r="BJ24" i="22" s="1"/>
  <c r="AA117" i="20"/>
  <c r="BC117" i="22" l="1"/>
  <c r="BA117" i="22"/>
  <c r="AX117" i="22"/>
  <c r="AV117" i="22"/>
  <c r="AS117" i="22"/>
  <c r="AQ117" i="22"/>
  <c r="AN117" i="22"/>
  <c r="AL117" i="22"/>
  <c r="AI117" i="22"/>
  <c r="AG117" i="22"/>
  <c r="AD117" i="22"/>
  <c r="AB117" i="22"/>
  <c r="BD117" i="22"/>
  <c r="BB117" i="22"/>
  <c r="AY117" i="22"/>
  <c r="AW117" i="22"/>
  <c r="AT117" i="22"/>
  <c r="AR117" i="22"/>
  <c r="AO117" i="22"/>
  <c r="AM117" i="22"/>
  <c r="AJ117" i="22"/>
  <c r="AH117" i="22"/>
  <c r="AE117" i="22"/>
  <c r="AC117" i="22"/>
  <c r="BE24" i="22"/>
  <c r="BC24" i="22"/>
  <c r="BA24" i="22"/>
  <c r="AY24" i="22"/>
  <c r="AW24" i="22"/>
  <c r="AU24" i="22"/>
  <c r="AS24" i="22"/>
  <c r="AQ24" i="22"/>
  <c r="AO24" i="22"/>
  <c r="AM24" i="22"/>
  <c r="AK24" i="22"/>
  <c r="AI24" i="22"/>
  <c r="AG24" i="22"/>
  <c r="AE24" i="22"/>
  <c r="AE46" i="22" s="1"/>
  <c r="AC24" i="22"/>
  <c r="AC46" i="22" s="1"/>
  <c r="BD24" i="22"/>
  <c r="BB24" i="22"/>
  <c r="AZ24" i="22"/>
  <c r="AX24" i="22"/>
  <c r="AV24" i="22"/>
  <c r="AT24" i="22"/>
  <c r="AR24" i="22"/>
  <c r="AP24" i="22"/>
  <c r="AN24" i="22"/>
  <c r="AL24" i="22"/>
  <c r="AJ24" i="22"/>
  <c r="AH24" i="22"/>
  <c r="AF24" i="22"/>
  <c r="AF46" i="22" s="1"/>
  <c r="AD24" i="22"/>
  <c r="AD46" i="22" s="1"/>
  <c r="AB24" i="22"/>
  <c r="AB46" i="22" s="1"/>
  <c r="BD117" i="20"/>
  <c r="BB117" i="20"/>
  <c r="AY117" i="20"/>
  <c r="AW117" i="20"/>
  <c r="BC117" i="20"/>
  <c r="AX117" i="20"/>
  <c r="AS117" i="20"/>
  <c r="AQ117" i="20"/>
  <c r="AT117" i="20"/>
  <c r="AR117" i="20"/>
  <c r="AO117" i="20"/>
  <c r="AM117" i="20"/>
  <c r="AB117" i="20"/>
  <c r="AN117" i="20"/>
  <c r="BA117" i="20"/>
  <c r="AV117" i="20"/>
  <c r="AL117" i="20"/>
  <c r="AI117" i="20"/>
  <c r="AG117" i="20"/>
  <c r="AD117" i="20"/>
  <c r="AJ117" i="20"/>
  <c r="AH117" i="20"/>
  <c r="AE117" i="20"/>
  <c r="AC117" i="20"/>
  <c r="AA118" i="20"/>
  <c r="BJ177" i="22"/>
  <c r="BI177" i="22" s="1"/>
  <c r="F177" i="22" s="1"/>
  <c r="BJ120" i="22"/>
  <c r="BI120" i="22" s="1"/>
  <c r="F120" i="22" s="1"/>
  <c r="BJ119" i="22"/>
  <c r="BI119" i="22" s="1"/>
  <c r="F119" i="22" s="1"/>
  <c r="BJ118" i="22"/>
  <c r="BI118" i="22" s="1"/>
  <c r="F118" i="22" s="1"/>
  <c r="BJ117" i="22"/>
  <c r="BI117" i="22" s="1"/>
  <c r="F117" i="22" s="1"/>
  <c r="BJ117" i="20"/>
  <c r="G117" i="20" s="1"/>
  <c r="BJ26" i="20"/>
  <c r="G26" i="20" s="1"/>
  <c r="F26" i="20" s="1"/>
  <c r="BJ30" i="20"/>
  <c r="G30" i="20" s="1"/>
  <c r="F30" i="20" s="1"/>
  <c r="BJ35" i="20"/>
  <c r="G35" i="20" s="1"/>
  <c r="F35" i="20" s="1"/>
  <c r="BJ41" i="20"/>
  <c r="G41" i="20" s="1"/>
  <c r="F41" i="20" s="1"/>
  <c r="BJ129" i="22"/>
  <c r="BI129" i="22" s="1"/>
  <c r="F129" i="22" s="1"/>
  <c r="BJ31" i="20"/>
  <c r="G31" i="20" s="1"/>
  <c r="F31" i="20" s="1"/>
  <c r="BJ36" i="20"/>
  <c r="G36" i="20" s="1"/>
  <c r="F36" i="20" s="1"/>
  <c r="BJ28" i="20"/>
  <c r="G28" i="20" s="1"/>
  <c r="F28" i="20" s="1"/>
  <c r="BJ32" i="20"/>
  <c r="G32" i="20" s="1"/>
  <c r="F32" i="20" s="1"/>
  <c r="BJ37" i="20"/>
  <c r="G37" i="20" s="1"/>
  <c r="F37" i="20" s="1"/>
  <c r="BJ46" i="20"/>
  <c r="G46" i="20" s="1"/>
  <c r="BJ29" i="20"/>
  <c r="G29" i="20" s="1"/>
  <c r="F29" i="20" s="1"/>
  <c r="BJ34" i="20"/>
  <c r="G34" i="20" s="1"/>
  <c r="F34" i="20" s="1"/>
  <c r="BJ39" i="20"/>
  <c r="G39" i="20" s="1"/>
  <c r="F39" i="20" s="1"/>
  <c r="BJ118" i="20"/>
  <c r="G118" i="20" s="1"/>
  <c r="G50" i="20" l="1"/>
  <c r="F46" i="20"/>
  <c r="F49" i="20" s="1"/>
  <c r="BC118" i="22"/>
  <c r="BA118" i="22"/>
  <c r="O118" i="22" s="1"/>
  <c r="O198" i="22" s="1"/>
  <c r="AX118" i="22"/>
  <c r="AV118" i="22"/>
  <c r="N118" i="22" s="1"/>
  <c r="N198" i="22" s="1"/>
  <c r="AS118" i="22"/>
  <c r="AQ118" i="22"/>
  <c r="M118" i="22" s="1"/>
  <c r="M198" i="22" s="1"/>
  <c r="AN118" i="22"/>
  <c r="AL118" i="22"/>
  <c r="L118" i="22" s="1"/>
  <c r="L198" i="22" s="1"/>
  <c r="AI118" i="22"/>
  <c r="AG118" i="22"/>
  <c r="K118" i="22" s="1"/>
  <c r="K198" i="22" s="1"/>
  <c r="AD118" i="22"/>
  <c r="AB118" i="22"/>
  <c r="J118" i="22" s="1"/>
  <c r="J198" i="22" s="1"/>
  <c r="BD118" i="22"/>
  <c r="BB118" i="22"/>
  <c r="AY118" i="22"/>
  <c r="AW118" i="22"/>
  <c r="AT118" i="22"/>
  <c r="AR118" i="22"/>
  <c r="AO118" i="22"/>
  <c r="AM118" i="22"/>
  <c r="AJ118" i="22"/>
  <c r="AH118" i="22"/>
  <c r="AE118" i="22"/>
  <c r="AC118" i="22"/>
  <c r="AX46" i="22"/>
  <c r="BC46" i="22"/>
  <c r="AI46" i="22"/>
  <c r="AD47" i="22"/>
  <c r="AN46" i="22"/>
  <c r="AS46" i="22"/>
  <c r="AR46" i="22"/>
  <c r="AC47" i="22"/>
  <c r="AM46" i="22"/>
  <c r="BB46" i="22"/>
  <c r="AH46" i="22"/>
  <c r="AW46" i="22"/>
  <c r="AV46" i="22"/>
  <c r="BA46" i="22"/>
  <c r="AG46" i="22"/>
  <c r="AB47" i="22"/>
  <c r="AL46" i="22"/>
  <c r="AQ46" i="22"/>
  <c r="J46" i="22"/>
  <c r="J181" i="22" s="1"/>
  <c r="AZ46" i="22"/>
  <c r="BE46" i="22"/>
  <c r="AK46" i="22"/>
  <c r="AF47" i="22"/>
  <c r="AP46" i="22"/>
  <c r="AU46" i="22"/>
  <c r="AT46" i="22"/>
  <c r="AE47" i="22"/>
  <c r="AO46" i="22"/>
  <c r="BD46" i="22"/>
  <c r="AJ46" i="22"/>
  <c r="AY46" i="22"/>
  <c r="J117" i="22"/>
  <c r="K117" i="22"/>
  <c r="K197" i="22" s="1"/>
  <c r="L117" i="22"/>
  <c r="M117" i="22"/>
  <c r="N117" i="22"/>
  <c r="O117" i="22"/>
  <c r="BD118" i="20"/>
  <c r="AY118" i="20"/>
  <c r="BA118" i="20"/>
  <c r="AV118" i="20"/>
  <c r="AQ118" i="20"/>
  <c r="AL118" i="20"/>
  <c r="AT118" i="20"/>
  <c r="AO118" i="20"/>
  <c r="AR118" i="20"/>
  <c r="BC118" i="20"/>
  <c r="AS118" i="20"/>
  <c r="AW118" i="20"/>
  <c r="AN118" i="20"/>
  <c r="BB118" i="20"/>
  <c r="AM118" i="20"/>
  <c r="AX118" i="20"/>
  <c r="AH118" i="20"/>
  <c r="AC118" i="20"/>
  <c r="AI118" i="20"/>
  <c r="AD118" i="20"/>
  <c r="AE118" i="20"/>
  <c r="AJ118" i="20"/>
  <c r="AB118" i="20"/>
  <c r="AG118" i="20"/>
  <c r="AA119" i="20"/>
  <c r="BI28" i="20"/>
  <c r="BJ158" i="20"/>
  <c r="G158" i="20" s="1"/>
  <c r="BJ157" i="20"/>
  <c r="G157" i="20" s="1"/>
  <c r="BI117" i="20"/>
  <c r="F117" i="20" s="1"/>
  <c r="BJ133" i="22"/>
  <c r="BI133" i="22" s="1"/>
  <c r="F133" i="22" s="1"/>
  <c r="BJ132" i="20"/>
  <c r="G132" i="20" s="1"/>
  <c r="BJ133" i="20"/>
  <c r="G133" i="20" s="1"/>
  <c r="BJ128" i="22"/>
  <c r="BI128" i="22" s="1"/>
  <c r="F128" i="22" s="1"/>
  <c r="BJ130" i="22"/>
  <c r="BI130" i="22" s="1"/>
  <c r="F130" i="22" s="1"/>
  <c r="BJ137" i="22"/>
  <c r="BI137" i="22" s="1"/>
  <c r="F137" i="22" s="1"/>
  <c r="BJ144" i="22"/>
  <c r="BI144" i="22" s="1"/>
  <c r="F144" i="22" s="1"/>
  <c r="BJ146" i="22"/>
  <c r="BI146" i="22" s="1"/>
  <c r="F146" i="22" s="1"/>
  <c r="BJ157" i="22"/>
  <c r="BI157" i="22" s="1"/>
  <c r="F157" i="22" s="1"/>
  <c r="BJ159" i="22"/>
  <c r="BI159" i="22" s="1"/>
  <c r="F159" i="22" s="1"/>
  <c r="BJ171" i="22"/>
  <c r="BI171" i="22" s="1"/>
  <c r="F171" i="22" s="1"/>
  <c r="BJ123" i="22"/>
  <c r="BI123" i="22" s="1"/>
  <c r="F123" i="22" s="1"/>
  <c r="BJ125" i="22"/>
  <c r="BI125" i="22" s="1"/>
  <c r="F125" i="22" s="1"/>
  <c r="BJ132" i="22"/>
  <c r="BI132" i="22" s="1"/>
  <c r="F132" i="22" s="1"/>
  <c r="BJ134" i="22"/>
  <c r="BI134" i="22" s="1"/>
  <c r="F134" i="22" s="1"/>
  <c r="BJ141" i="22"/>
  <c r="BI141" i="22" s="1"/>
  <c r="F141" i="22" s="1"/>
  <c r="BJ148" i="22"/>
  <c r="BI148" i="22" s="1"/>
  <c r="F148" i="22" s="1"/>
  <c r="BJ152" i="22"/>
  <c r="BI152" i="22" s="1"/>
  <c r="F152" i="22" s="1"/>
  <c r="BJ154" i="22"/>
  <c r="BI154" i="22" s="1"/>
  <c r="F154" i="22" s="1"/>
  <c r="BJ162" i="22"/>
  <c r="BI162" i="22" s="1"/>
  <c r="F162" i="22" s="1"/>
  <c r="BJ164" i="22"/>
  <c r="BI164" i="22" s="1"/>
  <c r="F164" i="22" s="1"/>
  <c r="BJ166" i="22"/>
  <c r="BI166" i="22" s="1"/>
  <c r="F166" i="22" s="1"/>
  <c r="BJ136" i="22"/>
  <c r="BI136" i="22" s="1"/>
  <c r="F136" i="22" s="1"/>
  <c r="BJ138" i="22"/>
  <c r="BI138" i="22" s="1"/>
  <c r="F138" i="22" s="1"/>
  <c r="BJ145" i="22"/>
  <c r="BI145" i="22" s="1"/>
  <c r="F145" i="22" s="1"/>
  <c r="BJ156" i="22"/>
  <c r="BI156" i="22" s="1"/>
  <c r="F156" i="22" s="1"/>
  <c r="BJ158" i="22"/>
  <c r="BI158" i="22" s="1"/>
  <c r="F158" i="22" s="1"/>
  <c r="BJ168" i="22"/>
  <c r="BI168" i="22" s="1"/>
  <c r="F168" i="22" s="1"/>
  <c r="BJ174" i="22"/>
  <c r="BI174" i="22" s="1"/>
  <c r="F174" i="22" s="1"/>
  <c r="BJ122" i="22"/>
  <c r="BI122" i="22" s="1"/>
  <c r="F122" i="22" s="1"/>
  <c r="BJ124" i="22"/>
  <c r="BI124" i="22" s="1"/>
  <c r="F124" i="22" s="1"/>
  <c r="BJ126" i="22"/>
  <c r="BI126" i="22" s="1"/>
  <c r="F126" i="22" s="1"/>
  <c r="BJ140" i="22"/>
  <c r="BI140" i="22" s="1"/>
  <c r="F140" i="22" s="1"/>
  <c r="BJ142" i="22"/>
  <c r="BI142" i="22" s="1"/>
  <c r="F142" i="22" s="1"/>
  <c r="BJ151" i="22"/>
  <c r="BI151" i="22" s="1"/>
  <c r="F151" i="22" s="1"/>
  <c r="BJ153" i="22"/>
  <c r="BI153" i="22" s="1"/>
  <c r="F153" i="22" s="1"/>
  <c r="BJ161" i="22"/>
  <c r="BI161" i="22" s="1"/>
  <c r="F161" i="22" s="1"/>
  <c r="BJ163" i="22"/>
  <c r="BI163" i="22" s="1"/>
  <c r="F163" i="22" s="1"/>
  <c r="BJ165" i="22"/>
  <c r="BI165" i="22" s="1"/>
  <c r="F165" i="22" s="1"/>
  <c r="BJ122" i="20"/>
  <c r="G122" i="20" s="1"/>
  <c r="BJ154" i="20"/>
  <c r="G154" i="20" s="1"/>
  <c r="BJ164" i="20"/>
  <c r="G164" i="20" s="1"/>
  <c r="BJ125" i="20"/>
  <c r="G125" i="20" s="1"/>
  <c r="BJ130" i="20"/>
  <c r="G130" i="20" s="1"/>
  <c r="BJ128" i="20"/>
  <c r="G128" i="20" s="1"/>
  <c r="BJ166" i="20"/>
  <c r="G166" i="20" s="1"/>
  <c r="BJ168" i="20"/>
  <c r="G168" i="20" s="1"/>
  <c r="BJ138" i="20"/>
  <c r="G138" i="20" s="1"/>
  <c r="BJ144" i="20"/>
  <c r="G144" i="20" s="1"/>
  <c r="BJ171" i="20"/>
  <c r="G171" i="20" s="1"/>
  <c r="BJ145" i="20"/>
  <c r="G145" i="20" s="1"/>
  <c r="BJ165" i="20"/>
  <c r="G165" i="20" s="1"/>
  <c r="BJ159" i="20"/>
  <c r="G159" i="20" s="1"/>
  <c r="BJ136" i="20"/>
  <c r="G136" i="20" s="1"/>
  <c r="BJ123" i="20"/>
  <c r="G123" i="20" s="1"/>
  <c r="BJ152" i="20"/>
  <c r="G152" i="20" s="1"/>
  <c r="BJ148" i="20"/>
  <c r="G148" i="20" s="1"/>
  <c r="BJ126" i="20"/>
  <c r="G126" i="20" s="1"/>
  <c r="BJ156" i="20"/>
  <c r="G156" i="20" s="1"/>
  <c r="BJ153" i="20"/>
  <c r="G153" i="20" s="1"/>
  <c r="BJ129" i="20"/>
  <c r="G129" i="20" s="1"/>
  <c r="BJ161" i="20"/>
  <c r="G161" i="20" s="1"/>
  <c r="BJ124" i="20"/>
  <c r="G124" i="20" s="1"/>
  <c r="BJ151" i="20"/>
  <c r="G151" i="20" s="1"/>
  <c r="BJ162" i="20"/>
  <c r="G162" i="20" s="1"/>
  <c r="BJ163" i="20"/>
  <c r="G163" i="20" s="1"/>
  <c r="BJ120" i="20"/>
  <c r="G120" i="20" s="1"/>
  <c r="BJ119" i="20"/>
  <c r="G119" i="20" s="1"/>
  <c r="BJ146" i="20"/>
  <c r="G146" i="20" s="1"/>
  <c r="BJ141" i="20"/>
  <c r="G141" i="20" s="1"/>
  <c r="BJ177" i="20"/>
  <c r="G177" i="20" s="1"/>
  <c r="BJ142" i="20"/>
  <c r="G142" i="20" s="1"/>
  <c r="BJ137" i="20"/>
  <c r="G137" i="20" s="1"/>
  <c r="BJ134" i="20"/>
  <c r="G134" i="20" s="1"/>
  <c r="BJ140" i="20"/>
  <c r="G140" i="20" s="1"/>
  <c r="BJ174" i="20"/>
  <c r="G174" i="20" s="1"/>
  <c r="BI156" i="20"/>
  <c r="F156" i="20" s="1"/>
  <c r="BI118" i="20"/>
  <c r="F118" i="20" s="1"/>
  <c r="BI159" i="20" l="1"/>
  <c r="F159" i="20" s="1"/>
  <c r="BI138" i="20"/>
  <c r="F138" i="20" s="1"/>
  <c r="BI166" i="20"/>
  <c r="F166" i="20" s="1"/>
  <c r="BI165" i="20"/>
  <c r="F165" i="20" s="1"/>
  <c r="BI152" i="20"/>
  <c r="F152" i="20" s="1"/>
  <c r="O47" i="20"/>
  <c r="O182" i="20" s="1"/>
  <c r="O262" i="20" s="1"/>
  <c r="M47" i="20"/>
  <c r="M182" i="20" s="1"/>
  <c r="M262" i="20" s="1"/>
  <c r="K47" i="20"/>
  <c r="K182" i="20" s="1"/>
  <c r="K262" i="20" s="1"/>
  <c r="O46" i="20"/>
  <c r="O181" i="20" s="1"/>
  <c r="O261" i="20" s="1"/>
  <c r="M46" i="20"/>
  <c r="M181" i="20" s="1"/>
  <c r="M261" i="20" s="1"/>
  <c r="K46" i="20"/>
  <c r="K181" i="20" s="1"/>
  <c r="N46" i="20"/>
  <c r="N181" i="20" s="1"/>
  <c r="N261" i="20" s="1"/>
  <c r="L47" i="20"/>
  <c r="L182" i="20" s="1"/>
  <c r="L262" i="20" s="1"/>
  <c r="J46" i="20"/>
  <c r="N47" i="20"/>
  <c r="N182" i="20" s="1"/>
  <c r="N262" i="20" s="1"/>
  <c r="L46" i="20"/>
  <c r="L181" i="20" s="1"/>
  <c r="L261" i="20" s="1"/>
  <c r="K156" i="22"/>
  <c r="K236" i="22" s="1"/>
  <c r="J156" i="22"/>
  <c r="J236" i="22" s="1"/>
  <c r="L156" i="22"/>
  <c r="O156" i="22"/>
  <c r="N156" i="22"/>
  <c r="M156" i="22"/>
  <c r="O162" i="22"/>
  <c r="O242" i="22" s="1"/>
  <c r="N162" i="22"/>
  <c r="N242" i="22" s="1"/>
  <c r="J159" i="22"/>
  <c r="J239" i="22" s="1"/>
  <c r="M159" i="22"/>
  <c r="M239" i="22" s="1"/>
  <c r="L159" i="22"/>
  <c r="L239" i="22" s="1"/>
  <c r="N159" i="22"/>
  <c r="N239" i="22" s="1"/>
  <c r="K159" i="22"/>
  <c r="O159" i="22"/>
  <c r="O239" i="22" s="1"/>
  <c r="O197" i="22"/>
  <c r="M197" i="22"/>
  <c r="AT47" i="22"/>
  <c r="AY47" i="22"/>
  <c r="BD47" i="22"/>
  <c r="AJ47" i="22"/>
  <c r="AO47" i="22"/>
  <c r="AZ47" i="22"/>
  <c r="BE47" i="22"/>
  <c r="AK47" i="22"/>
  <c r="AP47" i="22"/>
  <c r="AU47" i="22"/>
  <c r="L46" i="22"/>
  <c r="L181" i="22" s="1"/>
  <c r="L261" i="22" s="1"/>
  <c r="K46" i="22"/>
  <c r="K181" i="22" s="1"/>
  <c r="K261" i="22" s="1"/>
  <c r="N46" i="22"/>
  <c r="N181" i="22" s="1"/>
  <c r="N261" i="22" s="1"/>
  <c r="O158" i="22"/>
  <c r="O238" i="22" s="1"/>
  <c r="K158" i="22"/>
  <c r="K238" i="22" s="1"/>
  <c r="L158" i="22"/>
  <c r="L238" i="22" s="1"/>
  <c r="N158" i="22"/>
  <c r="N238" i="22" s="1"/>
  <c r="J158" i="22"/>
  <c r="J238" i="22" s="1"/>
  <c r="M158" i="22"/>
  <c r="M238" i="22" s="1"/>
  <c r="L134" i="22"/>
  <c r="L214" i="22" s="1"/>
  <c r="O134" i="22"/>
  <c r="O214" i="22" s="1"/>
  <c r="K134" i="22"/>
  <c r="K214" i="22" s="1"/>
  <c r="N134" i="22"/>
  <c r="N214" i="22" s="1"/>
  <c r="J134" i="22"/>
  <c r="J214" i="22" s="1"/>
  <c r="M134" i="22"/>
  <c r="M214" i="22" s="1"/>
  <c r="K157" i="22"/>
  <c r="K237" i="22" s="1"/>
  <c r="J157" i="22"/>
  <c r="J237" i="22" s="1"/>
  <c r="M157" i="22"/>
  <c r="M237" i="22" s="1"/>
  <c r="L157" i="22"/>
  <c r="L237" i="22" s="1"/>
  <c r="N157" i="22"/>
  <c r="N237" i="22" s="1"/>
  <c r="O157" i="22"/>
  <c r="O237" i="22" s="1"/>
  <c r="BC119" i="22"/>
  <c r="BA119" i="22"/>
  <c r="AX119" i="22"/>
  <c r="AV119" i="22"/>
  <c r="AS119" i="22"/>
  <c r="AQ119" i="22"/>
  <c r="AN119" i="22"/>
  <c r="AL119" i="22"/>
  <c r="AI119" i="22"/>
  <c r="AG119" i="22"/>
  <c r="AD119" i="22"/>
  <c r="AB119" i="22"/>
  <c r="BD119" i="22"/>
  <c r="BB119" i="22"/>
  <c r="O119" i="22" s="1"/>
  <c r="O199" i="22" s="1"/>
  <c r="AY119" i="22"/>
  <c r="AW119" i="22"/>
  <c r="N119" i="22" s="1"/>
  <c r="N199" i="22" s="1"/>
  <c r="AT119" i="22"/>
  <c r="AR119" i="22"/>
  <c r="M119" i="22" s="1"/>
  <c r="M199" i="22" s="1"/>
  <c r="AO119" i="22"/>
  <c r="AM119" i="22"/>
  <c r="L119" i="22" s="1"/>
  <c r="L199" i="22" s="1"/>
  <c r="AJ119" i="22"/>
  <c r="AH119" i="22"/>
  <c r="K119" i="22" s="1"/>
  <c r="K199" i="22" s="1"/>
  <c r="AE119" i="22"/>
  <c r="AC119" i="22"/>
  <c r="J119" i="22" s="1"/>
  <c r="J199" i="22" s="1"/>
  <c r="N197" i="22"/>
  <c r="L197" i="22"/>
  <c r="AV47" i="22"/>
  <c r="BA47" i="22"/>
  <c r="AG47" i="22"/>
  <c r="AL47" i="22"/>
  <c r="AQ47" i="22"/>
  <c r="BB47" i="22"/>
  <c r="AH47" i="22"/>
  <c r="AM47" i="22"/>
  <c r="AR47" i="22"/>
  <c r="AW47" i="22"/>
  <c r="AN47" i="22"/>
  <c r="AS47" i="22"/>
  <c r="AX47" i="22"/>
  <c r="BC47" i="22"/>
  <c r="AI47" i="22"/>
  <c r="M46" i="22"/>
  <c r="M181" i="22" s="1"/>
  <c r="M261" i="22" s="1"/>
  <c r="O46" i="22"/>
  <c r="O181" i="22" s="1"/>
  <c r="O261" i="22" s="1"/>
  <c r="BD119" i="20"/>
  <c r="BB119" i="20"/>
  <c r="AY119" i="20"/>
  <c r="AW119" i="20"/>
  <c r="BC119" i="20"/>
  <c r="BA119" i="20"/>
  <c r="AX119" i="20"/>
  <c r="AV119" i="20"/>
  <c r="AS119" i="20"/>
  <c r="AQ119" i="20"/>
  <c r="AN119" i="20"/>
  <c r="AT119" i="20"/>
  <c r="AR119" i="20"/>
  <c r="AO119" i="20"/>
  <c r="AM119" i="20"/>
  <c r="AL119" i="20"/>
  <c r="AE119" i="20"/>
  <c r="AJ119" i="20"/>
  <c r="AI119" i="20"/>
  <c r="AD119" i="20"/>
  <c r="AC119" i="20"/>
  <c r="AH119" i="20"/>
  <c r="AG119" i="20"/>
  <c r="AB119" i="20"/>
  <c r="BI136" i="20"/>
  <c r="F136" i="20" s="1"/>
  <c r="BI171" i="20"/>
  <c r="F171" i="20" s="1"/>
  <c r="BI122" i="20"/>
  <c r="F122" i="20" s="1"/>
  <c r="BI157" i="20"/>
  <c r="F157" i="20" s="1"/>
  <c r="BI168" i="20"/>
  <c r="F168" i="20" s="1"/>
  <c r="BI145" i="20"/>
  <c r="F145" i="20" s="1"/>
  <c r="BI154" i="20"/>
  <c r="F154" i="20" s="1"/>
  <c r="AA120" i="20"/>
  <c r="BI164" i="20"/>
  <c r="F164" i="20" s="1"/>
  <c r="BI158" i="20"/>
  <c r="F158" i="20" s="1"/>
  <c r="J197" i="22"/>
  <c r="BI125" i="20"/>
  <c r="F125" i="20" s="1"/>
  <c r="BI144" i="20"/>
  <c r="F144" i="20" s="1"/>
  <c r="BI146" i="20"/>
  <c r="F146" i="20" s="1"/>
  <c r="BI142" i="20"/>
  <c r="F142" i="20" s="1"/>
  <c r="BI141" i="20"/>
  <c r="F141" i="20" s="1"/>
  <c r="BI120" i="20"/>
  <c r="F120" i="20" s="1"/>
  <c r="BI162" i="20"/>
  <c r="F162" i="20" s="1"/>
  <c r="BI148" i="20"/>
  <c r="F148" i="20" s="1"/>
  <c r="BI123" i="20"/>
  <c r="F123" i="20" s="1"/>
  <c r="BI126" i="20"/>
  <c r="F126" i="20" s="1"/>
  <c r="BI119" i="20"/>
  <c r="F119" i="20" s="1"/>
  <c r="BI132" i="20"/>
  <c r="F132" i="20" s="1"/>
  <c r="K239" i="22"/>
  <c r="BI161" i="20"/>
  <c r="F161" i="20" s="1"/>
  <c r="BI153" i="20"/>
  <c r="F153" i="20" s="1"/>
  <c r="BI163" i="20"/>
  <c r="F163" i="20" s="1"/>
  <c r="BI151" i="20"/>
  <c r="F151" i="20" s="1"/>
  <c r="BI124" i="20"/>
  <c r="F124" i="20" s="1"/>
  <c r="J261" i="22"/>
  <c r="BI140" i="20"/>
  <c r="F140" i="20" s="1"/>
  <c r="BI137" i="20"/>
  <c r="F137" i="20" s="1"/>
  <c r="BI177" i="20"/>
  <c r="F177" i="20" s="1"/>
  <c r="BI174" i="20"/>
  <c r="F174" i="20" s="1"/>
  <c r="BI130" i="20"/>
  <c r="F130" i="20" s="1"/>
  <c r="BI133" i="20"/>
  <c r="F133" i="20" s="1"/>
  <c r="BI128" i="20"/>
  <c r="F128" i="20" s="1"/>
  <c r="BI129" i="20"/>
  <c r="F129" i="20" s="1"/>
  <c r="BI134" i="20"/>
  <c r="F134" i="20" s="1"/>
  <c r="BC120" i="22" l="1"/>
  <c r="BA120" i="22"/>
  <c r="BD120" i="22"/>
  <c r="BB120" i="22"/>
  <c r="O120" i="22" s="1"/>
  <c r="O200" i="22" s="1"/>
  <c r="AX120" i="22"/>
  <c r="AV120" i="22"/>
  <c r="AS120" i="22"/>
  <c r="AQ120" i="22"/>
  <c r="AN120" i="22"/>
  <c r="AL120" i="22"/>
  <c r="AI120" i="22"/>
  <c r="AG120" i="22"/>
  <c r="AD120" i="22"/>
  <c r="AB120" i="22"/>
  <c r="AY120" i="22"/>
  <c r="AW120" i="22"/>
  <c r="N120" i="22" s="1"/>
  <c r="AT120" i="22"/>
  <c r="AR120" i="22"/>
  <c r="M120" i="22" s="1"/>
  <c r="M200" i="22" s="1"/>
  <c r="AO120" i="22"/>
  <c r="AM120" i="22"/>
  <c r="L120" i="22" s="1"/>
  <c r="AJ120" i="22"/>
  <c r="AH120" i="22"/>
  <c r="K120" i="22" s="1"/>
  <c r="K200" i="22" s="1"/>
  <c r="AE120" i="22"/>
  <c r="AC120" i="22"/>
  <c r="J120" i="22" s="1"/>
  <c r="N236" i="22"/>
  <c r="N35" i="22"/>
  <c r="L236" i="22"/>
  <c r="L35" i="22"/>
  <c r="M47" i="22"/>
  <c r="M182" i="22" s="1"/>
  <c r="M262" i="22" s="1"/>
  <c r="K47" i="22"/>
  <c r="K182" i="22" s="1"/>
  <c r="K262" i="22" s="1"/>
  <c r="N47" i="22"/>
  <c r="N182" i="22" s="1"/>
  <c r="N262" i="22" s="1"/>
  <c r="M236" i="22"/>
  <c r="M35" i="22"/>
  <c r="O236" i="22"/>
  <c r="O35" i="22"/>
  <c r="L47" i="22"/>
  <c r="L182" i="22" s="1"/>
  <c r="L262" i="22" s="1"/>
  <c r="O47" i="22"/>
  <c r="O182" i="22" s="1"/>
  <c r="O262" i="22" s="1"/>
  <c r="BD120" i="20"/>
  <c r="BB120" i="20"/>
  <c r="AY120" i="20"/>
  <c r="AW120" i="20"/>
  <c r="BC120" i="20"/>
  <c r="BA120" i="20"/>
  <c r="AX120" i="20"/>
  <c r="AV120" i="20"/>
  <c r="AS120" i="20"/>
  <c r="AQ120" i="20"/>
  <c r="AN120" i="20"/>
  <c r="AT120" i="20"/>
  <c r="AR120" i="20"/>
  <c r="AO120" i="20"/>
  <c r="AM120" i="20"/>
  <c r="AL120" i="20"/>
  <c r="AJ120" i="20"/>
  <c r="AE120" i="20"/>
  <c r="AI120" i="20"/>
  <c r="AD120" i="20"/>
  <c r="AH120" i="20"/>
  <c r="AC120" i="20"/>
  <c r="AB120" i="20"/>
  <c r="AG120" i="20"/>
  <c r="AA121" i="20"/>
  <c r="K261" i="20"/>
  <c r="J181" i="20"/>
  <c r="J261" i="20" s="1"/>
  <c r="M25" i="22" l="1"/>
  <c r="K25" i="22"/>
  <c r="O25" i="22"/>
  <c r="BC121" i="22"/>
  <c r="BA121" i="22"/>
  <c r="AX121" i="22"/>
  <c r="AV121" i="22"/>
  <c r="AS121" i="22"/>
  <c r="AQ121" i="22"/>
  <c r="AN121" i="22"/>
  <c r="AL121" i="22"/>
  <c r="AI121" i="22"/>
  <c r="AG121" i="22"/>
  <c r="AD121" i="22"/>
  <c r="AB121" i="22"/>
  <c r="BD121" i="22"/>
  <c r="BB121" i="22"/>
  <c r="AY121" i="22"/>
  <c r="AW121" i="22"/>
  <c r="AT121" i="22"/>
  <c r="AR121" i="22"/>
  <c r="AO121" i="22"/>
  <c r="AM121" i="22"/>
  <c r="AJ121" i="22"/>
  <c r="AH121" i="22"/>
  <c r="AE121" i="22"/>
  <c r="AC121" i="22"/>
  <c r="J200" i="22"/>
  <c r="J25" i="22"/>
  <c r="L200" i="22"/>
  <c r="L25" i="22"/>
  <c r="N200" i="22"/>
  <c r="N25" i="22"/>
  <c r="BD121" i="20"/>
  <c r="BB121" i="20"/>
  <c r="AY121" i="20"/>
  <c r="AW121" i="20"/>
  <c r="BC121" i="20"/>
  <c r="BA121" i="20"/>
  <c r="AX121" i="20"/>
  <c r="AV121" i="20"/>
  <c r="AS121" i="20"/>
  <c r="AQ121" i="20"/>
  <c r="AN121" i="20"/>
  <c r="AL121" i="20"/>
  <c r="AT121" i="20"/>
  <c r="AR121" i="20"/>
  <c r="AO121" i="20"/>
  <c r="AM121" i="20"/>
  <c r="AJ121" i="20"/>
  <c r="AE121" i="20"/>
  <c r="AI121" i="20"/>
  <c r="AD121" i="20"/>
  <c r="AC121" i="20"/>
  <c r="AH121" i="20"/>
  <c r="AG121" i="20"/>
  <c r="AB121" i="20"/>
  <c r="AA122" i="20"/>
  <c r="BC122" i="22" l="1"/>
  <c r="BA122" i="22"/>
  <c r="AX122" i="22"/>
  <c r="AV122" i="22"/>
  <c r="AS122" i="22"/>
  <c r="AQ122" i="22"/>
  <c r="AN122" i="22"/>
  <c r="AL122" i="22"/>
  <c r="AI122" i="22"/>
  <c r="AG122" i="22"/>
  <c r="AD122" i="22"/>
  <c r="AB122" i="22"/>
  <c r="BD122" i="22"/>
  <c r="BB122" i="22"/>
  <c r="O122" i="22" s="1"/>
  <c r="AY122" i="22"/>
  <c r="AW122" i="22"/>
  <c r="N122" i="22" s="1"/>
  <c r="AT122" i="22"/>
  <c r="AR122" i="22"/>
  <c r="M122" i="22" s="1"/>
  <c r="AO122" i="22"/>
  <c r="AM122" i="22"/>
  <c r="L122" i="22" s="1"/>
  <c r="AJ122" i="22"/>
  <c r="AH122" i="22"/>
  <c r="K122" i="22" s="1"/>
  <c r="AE122" i="22"/>
  <c r="AC122" i="22"/>
  <c r="J122" i="22" s="1"/>
  <c r="AA123" i="20"/>
  <c r="BB122" i="20"/>
  <c r="AW122" i="20"/>
  <c r="BC122" i="20"/>
  <c r="BA122" i="20"/>
  <c r="AX122" i="20"/>
  <c r="AV122" i="20"/>
  <c r="AS122" i="20"/>
  <c r="AQ122" i="20"/>
  <c r="AN122" i="20"/>
  <c r="AL122" i="20"/>
  <c r="AR122" i="20"/>
  <c r="AM122" i="20"/>
  <c r="BD122" i="20"/>
  <c r="AT122" i="20"/>
  <c r="AO122" i="20"/>
  <c r="AY122" i="20"/>
  <c r="AJ122" i="20"/>
  <c r="AE122" i="20"/>
  <c r="AE123" i="20"/>
  <c r="AJ123" i="20"/>
  <c r="AI122" i="20"/>
  <c r="AD122" i="20"/>
  <c r="AI123" i="20"/>
  <c r="AD123" i="20"/>
  <c r="AH122" i="20"/>
  <c r="AC122" i="20"/>
  <c r="AC123" i="20"/>
  <c r="AH123" i="20"/>
  <c r="AB122" i="20"/>
  <c r="AG122" i="20"/>
  <c r="AG123" i="20"/>
  <c r="AA124" i="20"/>
  <c r="BC124" i="22" l="1"/>
  <c r="BA124" i="22"/>
  <c r="AX124" i="22"/>
  <c r="AV124" i="22"/>
  <c r="AS124" i="22"/>
  <c r="AQ124" i="22"/>
  <c r="AN124" i="22"/>
  <c r="AL124" i="22"/>
  <c r="AI124" i="22"/>
  <c r="AG124" i="22"/>
  <c r="AD124" i="22"/>
  <c r="AB124" i="22"/>
  <c r="BD124" i="22"/>
  <c r="BB124" i="22"/>
  <c r="AY124" i="22"/>
  <c r="AW124" i="22"/>
  <c r="AT124" i="22"/>
  <c r="AR124" i="22"/>
  <c r="AO124" i="22"/>
  <c r="AM124" i="22"/>
  <c r="AJ124" i="22"/>
  <c r="AH124" i="22"/>
  <c r="AE124" i="22"/>
  <c r="AC124" i="22"/>
  <c r="BC123" i="22"/>
  <c r="BA123" i="22"/>
  <c r="AX123" i="22"/>
  <c r="AV123" i="22"/>
  <c r="AS123" i="22"/>
  <c r="AQ123" i="22"/>
  <c r="AN123" i="22"/>
  <c r="AL123" i="22"/>
  <c r="AI123" i="22"/>
  <c r="AG123" i="22"/>
  <c r="AD123" i="22"/>
  <c r="AB123" i="22"/>
  <c r="BD123" i="22"/>
  <c r="BB123" i="22"/>
  <c r="O123" i="22" s="1"/>
  <c r="O203" i="22" s="1"/>
  <c r="AY123" i="22"/>
  <c r="AW123" i="22"/>
  <c r="N123" i="22" s="1"/>
  <c r="N203" i="22" s="1"/>
  <c r="AT123" i="22"/>
  <c r="AR123" i="22"/>
  <c r="M123" i="22" s="1"/>
  <c r="M203" i="22" s="1"/>
  <c r="AO123" i="22"/>
  <c r="AM123" i="22"/>
  <c r="L123" i="22" s="1"/>
  <c r="L203" i="22" s="1"/>
  <c r="AJ123" i="22"/>
  <c r="AH123" i="22"/>
  <c r="K123" i="22" s="1"/>
  <c r="K203" i="22" s="1"/>
  <c r="AE123" i="22"/>
  <c r="AC123" i="22"/>
  <c r="J123" i="22" s="1"/>
  <c r="J203" i="22" s="1"/>
  <c r="J202" i="22"/>
  <c r="K202" i="22"/>
  <c r="L202" i="22"/>
  <c r="M202" i="22"/>
  <c r="N202" i="22"/>
  <c r="O202" i="22"/>
  <c r="AA125" i="20"/>
  <c r="AH125" i="20" s="1"/>
  <c r="AB123" i="20"/>
  <c r="BC123" i="20"/>
  <c r="BA123" i="20"/>
  <c r="AX123" i="20"/>
  <c r="AV123" i="20"/>
  <c r="BD123" i="20"/>
  <c r="BB123" i="20"/>
  <c r="AY123" i="20"/>
  <c r="AW123" i="20"/>
  <c r="AT123" i="20"/>
  <c r="AR123" i="20"/>
  <c r="AO123" i="20"/>
  <c r="AM123" i="20"/>
  <c r="AS123" i="20"/>
  <c r="AQ123" i="20"/>
  <c r="AN123" i="20"/>
  <c r="AL123" i="20"/>
  <c r="AA126" i="20"/>
  <c r="AC125" i="20" l="1"/>
  <c r="BC126" i="22"/>
  <c r="BA126" i="22"/>
  <c r="O126" i="22" s="1"/>
  <c r="O206" i="22" s="1"/>
  <c r="AX126" i="22"/>
  <c r="AV126" i="22"/>
  <c r="N126" i="22" s="1"/>
  <c r="N206" i="22" s="1"/>
  <c r="AS126" i="22"/>
  <c r="AQ126" i="22"/>
  <c r="M126" i="22" s="1"/>
  <c r="M206" i="22" s="1"/>
  <c r="AN126" i="22"/>
  <c r="AL126" i="22"/>
  <c r="L126" i="22" s="1"/>
  <c r="L206" i="22" s="1"/>
  <c r="AI126" i="22"/>
  <c r="AG126" i="22"/>
  <c r="K126" i="22" s="1"/>
  <c r="K206" i="22" s="1"/>
  <c r="AD126" i="22"/>
  <c r="AB126" i="22"/>
  <c r="J126" i="22" s="1"/>
  <c r="J206" i="22" s="1"/>
  <c r="BD126" i="22"/>
  <c r="BB126" i="22"/>
  <c r="AY126" i="22"/>
  <c r="AW126" i="22"/>
  <c r="AT126" i="22"/>
  <c r="AR126" i="22"/>
  <c r="AO126" i="22"/>
  <c r="AM126" i="22"/>
  <c r="AJ126" i="22"/>
  <c r="AH126" i="22"/>
  <c r="AE126" i="22"/>
  <c r="AC126" i="22"/>
  <c r="BC125" i="22"/>
  <c r="AY125" i="22"/>
  <c r="AW125" i="22"/>
  <c r="AS125" i="22"/>
  <c r="AO125" i="22"/>
  <c r="AM125" i="22"/>
  <c r="AI125" i="22"/>
  <c r="AE125" i="22"/>
  <c r="AC125" i="22"/>
  <c r="BD125" i="22"/>
  <c r="BB125" i="22"/>
  <c r="AX125" i="22"/>
  <c r="AT125" i="22"/>
  <c r="AR125" i="22"/>
  <c r="AN125" i="22"/>
  <c r="AJ125" i="22"/>
  <c r="AH125" i="22"/>
  <c r="AD125" i="22"/>
  <c r="AB125" i="22"/>
  <c r="J124" i="22"/>
  <c r="AG125" i="22"/>
  <c r="K124" i="22"/>
  <c r="AL125" i="22"/>
  <c r="L124" i="22"/>
  <c r="AQ125" i="22"/>
  <c r="M124" i="22"/>
  <c r="AV125" i="22"/>
  <c r="N124" i="22"/>
  <c r="BA125" i="22"/>
  <c r="O124" i="22"/>
  <c r="BD126" i="20"/>
  <c r="BB126" i="20"/>
  <c r="AY126" i="20"/>
  <c r="AW126" i="20"/>
  <c r="BC126" i="20"/>
  <c r="BA126" i="20"/>
  <c r="AX126" i="20"/>
  <c r="AV126" i="20"/>
  <c r="AS126" i="20"/>
  <c r="AQ126" i="20"/>
  <c r="AN126" i="20"/>
  <c r="AL126" i="20"/>
  <c r="AT126" i="20"/>
  <c r="AR126" i="20"/>
  <c r="AO126" i="20"/>
  <c r="AM126" i="20"/>
  <c r="BB125" i="20"/>
  <c r="AW125" i="20"/>
  <c r="AR125" i="20"/>
  <c r="AM125" i="20"/>
  <c r="AT125" i="20"/>
  <c r="AS125" i="20"/>
  <c r="BC125" i="20"/>
  <c r="AY125" i="20"/>
  <c r="BD125" i="20"/>
  <c r="AO125" i="20"/>
  <c r="AN125" i="20"/>
  <c r="AX125" i="20"/>
  <c r="AE125" i="20"/>
  <c r="AD125" i="20"/>
  <c r="AJ125" i="20"/>
  <c r="AI125" i="20"/>
  <c r="AE126" i="20"/>
  <c r="AJ126" i="20"/>
  <c r="AI126" i="20"/>
  <c r="AD126" i="20"/>
  <c r="AC126" i="20"/>
  <c r="AH126" i="20"/>
  <c r="AB126" i="20"/>
  <c r="AG126" i="20"/>
  <c r="AA127" i="20"/>
  <c r="K125" i="22" l="1"/>
  <c r="K205" i="22" s="1"/>
  <c r="O125" i="22"/>
  <c r="O205" i="22" s="1"/>
  <c r="J125" i="22"/>
  <c r="J205" i="22" s="1"/>
  <c r="N125" i="22"/>
  <c r="N205" i="22" s="1"/>
  <c r="M125" i="22"/>
  <c r="M205" i="22" s="1"/>
  <c r="L125" i="22"/>
  <c r="L205" i="22" s="1"/>
  <c r="O204" i="22"/>
  <c r="N204" i="22"/>
  <c r="M204" i="22"/>
  <c r="L204" i="22"/>
  <c r="K204" i="22"/>
  <c r="J204" i="22"/>
  <c r="BC127" i="22"/>
  <c r="BA127" i="22"/>
  <c r="AX127" i="22"/>
  <c r="AV127" i="22"/>
  <c r="AS127" i="22"/>
  <c r="AQ127" i="22"/>
  <c r="AN127" i="22"/>
  <c r="AL127" i="22"/>
  <c r="AI127" i="22"/>
  <c r="AG127" i="22"/>
  <c r="AD127" i="22"/>
  <c r="AB127" i="22"/>
  <c r="BD127" i="22"/>
  <c r="BB127" i="22"/>
  <c r="AY127" i="22"/>
  <c r="AW127" i="22"/>
  <c r="AT127" i="22"/>
  <c r="AR127" i="22"/>
  <c r="AO127" i="22"/>
  <c r="AM127" i="22"/>
  <c r="AJ127" i="22"/>
  <c r="AH127" i="22"/>
  <c r="AE127" i="22"/>
  <c r="AC127" i="22"/>
  <c r="BD127" i="20"/>
  <c r="BB127" i="20"/>
  <c r="AY127" i="20"/>
  <c r="AW127" i="20"/>
  <c r="BC127" i="20"/>
  <c r="BA127" i="20"/>
  <c r="AX127" i="20"/>
  <c r="AV127" i="20"/>
  <c r="AS127" i="20"/>
  <c r="AQ127" i="20"/>
  <c r="AN127" i="20"/>
  <c r="AL127" i="20"/>
  <c r="AT127" i="20"/>
  <c r="AR127" i="20"/>
  <c r="AO127" i="20"/>
  <c r="AM127" i="20"/>
  <c r="AJ127" i="20"/>
  <c r="AE127" i="20"/>
  <c r="AI127" i="20"/>
  <c r="AD127" i="20"/>
  <c r="AH127" i="20"/>
  <c r="AC127" i="20"/>
  <c r="AG127" i="20"/>
  <c r="AB127" i="20"/>
  <c r="AA128" i="20"/>
  <c r="O26" i="22" l="1"/>
  <c r="N26" i="22"/>
  <c r="L26" i="22"/>
  <c r="J26" i="22"/>
  <c r="K26" i="22"/>
  <c r="M26" i="22"/>
  <c r="BC128" i="22"/>
  <c r="BA128" i="22"/>
  <c r="AX128" i="22"/>
  <c r="AV128" i="22"/>
  <c r="AS128" i="22"/>
  <c r="AQ128" i="22"/>
  <c r="AN128" i="22"/>
  <c r="AL128" i="22"/>
  <c r="AI128" i="22"/>
  <c r="AG128" i="22"/>
  <c r="AD128" i="22"/>
  <c r="AB128" i="22"/>
  <c r="BD128" i="22"/>
  <c r="BB128" i="22"/>
  <c r="AY128" i="22"/>
  <c r="AW128" i="22"/>
  <c r="AT128" i="22"/>
  <c r="AR128" i="22"/>
  <c r="AO128" i="22"/>
  <c r="AM128" i="22"/>
  <c r="AJ128" i="22"/>
  <c r="AH128" i="22"/>
  <c r="AE128" i="22"/>
  <c r="AC128" i="22"/>
  <c r="BD128" i="20"/>
  <c r="BB128" i="20"/>
  <c r="AY128" i="20"/>
  <c r="AW128" i="20"/>
  <c r="BC128" i="20"/>
  <c r="BA128" i="20"/>
  <c r="AX128" i="20"/>
  <c r="AV128" i="20"/>
  <c r="AS128" i="20"/>
  <c r="AQ128" i="20"/>
  <c r="AN128" i="20"/>
  <c r="AL128" i="20"/>
  <c r="AT128" i="20"/>
  <c r="AR128" i="20"/>
  <c r="AO128" i="20"/>
  <c r="AM128" i="20"/>
  <c r="AJ128" i="20"/>
  <c r="AE128" i="20"/>
  <c r="AI128" i="20"/>
  <c r="AD128" i="20"/>
  <c r="AC128" i="20"/>
  <c r="AH128" i="20"/>
  <c r="AB128" i="20"/>
  <c r="AG128" i="20"/>
  <c r="AA129" i="20"/>
  <c r="J128" i="22" l="1"/>
  <c r="K128" i="22"/>
  <c r="L128" i="22"/>
  <c r="L208" i="22" s="1"/>
  <c r="M128" i="22"/>
  <c r="M208" i="22" s="1"/>
  <c r="N128" i="22"/>
  <c r="O128" i="22"/>
  <c r="J208" i="22"/>
  <c r="K208" i="22"/>
  <c r="N208" i="22"/>
  <c r="O208" i="22"/>
  <c r="BC129" i="22"/>
  <c r="BA129" i="22"/>
  <c r="AX129" i="22"/>
  <c r="AV129" i="22"/>
  <c r="AS129" i="22"/>
  <c r="AQ129" i="22"/>
  <c r="AN129" i="22"/>
  <c r="AL129" i="22"/>
  <c r="AI129" i="22"/>
  <c r="AG129" i="22"/>
  <c r="AD129" i="22"/>
  <c r="AB129" i="22"/>
  <c r="BD129" i="22"/>
  <c r="BB129" i="22"/>
  <c r="O129" i="22" s="1"/>
  <c r="O209" i="22" s="1"/>
  <c r="AY129" i="22"/>
  <c r="AW129" i="22"/>
  <c r="N129" i="22" s="1"/>
  <c r="N209" i="22" s="1"/>
  <c r="AT129" i="22"/>
  <c r="AR129" i="22"/>
  <c r="M129" i="22" s="1"/>
  <c r="M209" i="22" s="1"/>
  <c r="AO129" i="22"/>
  <c r="AM129" i="22"/>
  <c r="L129" i="22" s="1"/>
  <c r="L209" i="22" s="1"/>
  <c r="AJ129" i="22"/>
  <c r="AH129" i="22"/>
  <c r="K129" i="22" s="1"/>
  <c r="K209" i="22" s="1"/>
  <c r="AE129" i="22"/>
  <c r="AC129" i="22"/>
  <c r="J129" i="22" s="1"/>
  <c r="J209" i="22" s="1"/>
  <c r="BD129" i="20"/>
  <c r="AY129" i="20"/>
  <c r="BC129" i="20"/>
  <c r="AX129" i="20"/>
  <c r="AS129" i="20"/>
  <c r="AN129" i="20"/>
  <c r="AT129" i="20"/>
  <c r="AO129" i="20"/>
  <c r="BB129" i="20"/>
  <c r="AM129" i="20"/>
  <c r="AL129" i="20"/>
  <c r="AV129" i="20"/>
  <c r="AR129" i="20"/>
  <c r="AQ129" i="20"/>
  <c r="BA129" i="20"/>
  <c r="AW129" i="20"/>
  <c r="AH129" i="20"/>
  <c r="AC129" i="20"/>
  <c r="AB129" i="20"/>
  <c r="AG129" i="20"/>
  <c r="AA130" i="20"/>
  <c r="AE129" i="20"/>
  <c r="AJ129" i="20"/>
  <c r="AI130" i="20"/>
  <c r="AD130" i="20"/>
  <c r="AI129" i="20"/>
  <c r="AD129" i="20"/>
  <c r="AA131" i="20"/>
  <c r="BC131" i="22" l="1"/>
  <c r="BA131" i="22"/>
  <c r="AX131" i="22"/>
  <c r="AV131" i="22"/>
  <c r="AS131" i="22"/>
  <c r="AQ131" i="22"/>
  <c r="AN131" i="22"/>
  <c r="AL131" i="22"/>
  <c r="AI131" i="22"/>
  <c r="AG131" i="22"/>
  <c r="AD131" i="22"/>
  <c r="AB131" i="22"/>
  <c r="BD131" i="22"/>
  <c r="BB131" i="22"/>
  <c r="AY131" i="22"/>
  <c r="AW131" i="22"/>
  <c r="AT131" i="22"/>
  <c r="AR131" i="22"/>
  <c r="AO131" i="22"/>
  <c r="AM131" i="22"/>
  <c r="AJ131" i="22"/>
  <c r="AH131" i="22"/>
  <c r="AE131" i="22"/>
  <c r="AC131" i="22"/>
  <c r="BC130" i="22"/>
  <c r="BA130" i="22"/>
  <c r="AX130" i="22"/>
  <c r="AV130" i="22"/>
  <c r="AS130" i="22"/>
  <c r="AQ130" i="22"/>
  <c r="AN130" i="22"/>
  <c r="AL130" i="22"/>
  <c r="AI130" i="22"/>
  <c r="AG130" i="22"/>
  <c r="AD130" i="22"/>
  <c r="AB130" i="22"/>
  <c r="BD130" i="22"/>
  <c r="BB130" i="22"/>
  <c r="AY130" i="22"/>
  <c r="AW130" i="22"/>
  <c r="AT130" i="22"/>
  <c r="AR130" i="22"/>
  <c r="AO130" i="22"/>
  <c r="AM130" i="22"/>
  <c r="AJ130" i="22"/>
  <c r="AH130" i="22"/>
  <c r="AE130" i="22"/>
  <c r="AC130" i="22"/>
  <c r="BC130" i="20"/>
  <c r="AX130" i="20"/>
  <c r="AS130" i="20"/>
  <c r="AN130" i="20"/>
  <c r="AO130" i="20"/>
  <c r="AR130" i="20"/>
  <c r="BD130" i="20"/>
  <c r="AL130" i="20"/>
  <c r="AW130" i="20"/>
  <c r="AQ130" i="20"/>
  <c r="BB130" i="20"/>
  <c r="AV130" i="20"/>
  <c r="AT130" i="20"/>
  <c r="AM130" i="20"/>
  <c r="AY130" i="20"/>
  <c r="BA130" i="20"/>
  <c r="AH130" i="20"/>
  <c r="AC130" i="20"/>
  <c r="AG130" i="20"/>
  <c r="AJ130" i="20"/>
  <c r="AB130" i="20"/>
  <c r="AE130" i="20"/>
  <c r="BC131" i="20"/>
  <c r="BA131" i="20"/>
  <c r="AX131" i="20"/>
  <c r="AV131" i="20"/>
  <c r="BD131" i="20"/>
  <c r="BB131" i="20"/>
  <c r="AY131" i="20"/>
  <c r="AW131" i="20"/>
  <c r="AT131" i="20"/>
  <c r="AR131" i="20"/>
  <c r="AO131" i="20"/>
  <c r="AM131" i="20"/>
  <c r="AS131" i="20"/>
  <c r="AQ131" i="20"/>
  <c r="AN131" i="20"/>
  <c r="AL131" i="20"/>
  <c r="AE131" i="20"/>
  <c r="AJ131" i="20"/>
  <c r="AI131" i="20"/>
  <c r="AD131" i="20"/>
  <c r="AH131" i="20"/>
  <c r="AC131" i="20"/>
  <c r="AG131" i="20"/>
  <c r="AB131" i="20"/>
  <c r="AA132" i="20"/>
  <c r="AY132" i="22" l="1"/>
  <c r="AT132" i="22"/>
  <c r="AO132" i="22"/>
  <c r="AJ132" i="22"/>
  <c r="AE132" i="22"/>
  <c r="AX132" i="22"/>
  <c r="AS132" i="22"/>
  <c r="AN132" i="22"/>
  <c r="AI132" i="22"/>
  <c r="AD132" i="22"/>
  <c r="AW132" i="22"/>
  <c r="AR132" i="22"/>
  <c r="AM132" i="22"/>
  <c r="AH132" i="22"/>
  <c r="AC132" i="22"/>
  <c r="AV132" i="22"/>
  <c r="N132" i="22" s="1"/>
  <c r="AQ132" i="22"/>
  <c r="AL132" i="22"/>
  <c r="AG132" i="22"/>
  <c r="AB132" i="22"/>
  <c r="J132" i="22" s="1"/>
  <c r="AI132" i="20"/>
  <c r="AN132" i="20"/>
  <c r="AJ132" i="20"/>
  <c r="AW132" i="20"/>
  <c r="AE132" i="20"/>
  <c r="AD132" i="20"/>
  <c r="AR132" i="20"/>
  <c r="AV132" i="20"/>
  <c r="AS132" i="20"/>
  <c r="AO132" i="20"/>
  <c r="AB132" i="20"/>
  <c r="AT132" i="20"/>
  <c r="AM132" i="20"/>
  <c r="AC132" i="20"/>
  <c r="AL132" i="20"/>
  <c r="AG132" i="20"/>
  <c r="AQ132" i="20"/>
  <c r="AX132" i="20"/>
  <c r="AH132" i="20"/>
  <c r="AY132" i="20"/>
  <c r="BA132" i="20"/>
  <c r="BD132" i="22"/>
  <c r="BB132" i="22"/>
  <c r="BB132" i="20"/>
  <c r="BC132" i="22"/>
  <c r="BC132" i="20"/>
  <c r="BA132" i="22"/>
  <c r="BD132" i="20"/>
  <c r="J130" i="22"/>
  <c r="J210" i="22" s="1"/>
  <c r="K130" i="22"/>
  <c r="K210" i="22" s="1"/>
  <c r="L130" i="22"/>
  <c r="L210" i="22" s="1"/>
  <c r="M130" i="22"/>
  <c r="M210" i="22" s="1"/>
  <c r="N130" i="22"/>
  <c r="N210" i="22" s="1"/>
  <c r="O130" i="22"/>
  <c r="L27" i="22"/>
  <c r="J27" i="22"/>
  <c r="O132" i="22"/>
  <c r="M132" i="22"/>
  <c r="L132" i="22"/>
  <c r="K132" i="22"/>
  <c r="AA133" i="20"/>
  <c r="K35" i="22"/>
  <c r="J35" i="22"/>
  <c r="AH133" i="20" l="1"/>
  <c r="AY133" i="20"/>
  <c r="AL133" i="20"/>
  <c r="AQ133" i="20"/>
  <c r="AV133" i="20"/>
  <c r="AX133" i="20"/>
  <c r="AR133" i="20"/>
  <c r="AW133" i="20"/>
  <c r="AN133" i="20"/>
  <c r="AO133" i="20"/>
  <c r="AI133" i="20"/>
  <c r="AS133" i="20"/>
  <c r="AM133" i="20"/>
  <c r="AG133" i="20"/>
  <c r="AJ133" i="20"/>
  <c r="AT133" i="20"/>
  <c r="AC133" i="20"/>
  <c r="AB133" i="20"/>
  <c r="AE133" i="20"/>
  <c r="AD133" i="20"/>
  <c r="AB133" i="22"/>
  <c r="AL133" i="22"/>
  <c r="AM133" i="22"/>
  <c r="AX133" i="22"/>
  <c r="AY133" i="22"/>
  <c r="BC133" i="20"/>
  <c r="AI133" i="22"/>
  <c r="AJ133" i="22"/>
  <c r="AV133" i="22"/>
  <c r="AW133" i="22"/>
  <c r="BA133" i="20"/>
  <c r="AG133" i="22"/>
  <c r="AH133" i="22"/>
  <c r="AS133" i="22"/>
  <c r="AT133" i="22"/>
  <c r="BB133" i="20"/>
  <c r="AD133" i="22"/>
  <c r="AE133" i="22"/>
  <c r="AQ133" i="22"/>
  <c r="M133" i="22" s="1"/>
  <c r="M213" i="22" s="1"/>
  <c r="AR133" i="22"/>
  <c r="BC133" i="22"/>
  <c r="BD133" i="22"/>
  <c r="AC133" i="22"/>
  <c r="AN133" i="22"/>
  <c r="AO133" i="22"/>
  <c r="BA133" i="22"/>
  <c r="BB133" i="22"/>
  <c r="BD133" i="20"/>
  <c r="O210" i="22"/>
  <c r="O27" i="22"/>
  <c r="M27" i="22"/>
  <c r="K27" i="22"/>
  <c r="N27" i="22"/>
  <c r="O133" i="22"/>
  <c r="O213" i="22" s="1"/>
  <c r="N133" i="22"/>
  <c r="N213" i="22" s="1"/>
  <c r="L133" i="22"/>
  <c r="L213" i="22" s="1"/>
  <c r="K133" i="22"/>
  <c r="K213" i="22" s="1"/>
  <c r="J133" i="22"/>
  <c r="J213" i="22" s="1"/>
  <c r="J212" i="22"/>
  <c r="K212" i="22"/>
  <c r="L212" i="22"/>
  <c r="M212" i="22"/>
  <c r="N212" i="22"/>
  <c r="O212" i="22"/>
  <c r="AA134" i="20"/>
  <c r="J28" i="22" l="1"/>
  <c r="O28" i="22"/>
  <c r="N28" i="22"/>
  <c r="M28" i="22"/>
  <c r="L28" i="22"/>
  <c r="K28" i="22"/>
  <c r="BC134" i="22"/>
  <c r="BA134" i="22"/>
  <c r="AX134" i="22"/>
  <c r="AV134" i="22"/>
  <c r="AS134" i="22"/>
  <c r="AQ134" i="22"/>
  <c r="AN134" i="22"/>
  <c r="AL134" i="22"/>
  <c r="AI134" i="22"/>
  <c r="AG134" i="22"/>
  <c r="AD134" i="22"/>
  <c r="AB134" i="22"/>
  <c r="BD134" i="22"/>
  <c r="BB134" i="22"/>
  <c r="AY134" i="22"/>
  <c r="AW134" i="22"/>
  <c r="AT134" i="22"/>
  <c r="AR134" i="22"/>
  <c r="AO134" i="22"/>
  <c r="AM134" i="22"/>
  <c r="AJ134" i="22"/>
  <c r="AH134" i="22"/>
  <c r="AE134" i="22"/>
  <c r="AC134" i="22"/>
  <c r="BC134" i="20"/>
  <c r="BA134" i="20"/>
  <c r="AX134" i="20"/>
  <c r="AV134" i="20"/>
  <c r="BD134" i="20"/>
  <c r="BB134" i="20"/>
  <c r="AY134" i="20"/>
  <c r="AW134" i="20"/>
  <c r="AT134" i="20"/>
  <c r="AR134" i="20"/>
  <c r="AO134" i="20"/>
  <c r="AM134" i="20"/>
  <c r="AS134" i="20"/>
  <c r="AQ134" i="20"/>
  <c r="AN134" i="20"/>
  <c r="AL134" i="20"/>
  <c r="AI134" i="20"/>
  <c r="AA135" i="20"/>
  <c r="AE134" i="20"/>
  <c r="AD134" i="20"/>
  <c r="AH134" i="20"/>
  <c r="AG134" i="20"/>
  <c r="AJ134" i="20"/>
  <c r="AC134" i="20"/>
  <c r="AB134" i="20"/>
  <c r="BC135" i="22" l="1"/>
  <c r="BA135" i="22"/>
  <c r="AX135" i="22"/>
  <c r="AV135" i="22"/>
  <c r="AS135" i="22"/>
  <c r="AQ135" i="22"/>
  <c r="AN135" i="22"/>
  <c r="AL135" i="22"/>
  <c r="AI135" i="22"/>
  <c r="AG135" i="22"/>
  <c r="AD135" i="22"/>
  <c r="AB135" i="22"/>
  <c r="BD135" i="22"/>
  <c r="BB135" i="22"/>
  <c r="AY135" i="22"/>
  <c r="AW135" i="22"/>
  <c r="AT135" i="22"/>
  <c r="AR135" i="22"/>
  <c r="AO135" i="22"/>
  <c r="AM135" i="22"/>
  <c r="AJ135" i="22"/>
  <c r="AH135" i="22"/>
  <c r="AE135" i="22"/>
  <c r="AC135" i="22"/>
  <c r="BC135" i="20"/>
  <c r="BA135" i="20"/>
  <c r="AX135" i="20"/>
  <c r="AV135" i="20"/>
  <c r="BD135" i="20"/>
  <c r="BB135" i="20"/>
  <c r="AY135" i="20"/>
  <c r="AW135" i="20"/>
  <c r="AT135" i="20"/>
  <c r="AR135" i="20"/>
  <c r="AO135" i="20"/>
  <c r="AM135" i="20"/>
  <c r="AS135" i="20"/>
  <c r="AQ135" i="20"/>
  <c r="AN135" i="20"/>
  <c r="AL135" i="20"/>
  <c r="AJ135" i="20"/>
  <c r="AH135" i="20"/>
  <c r="AA136" i="20"/>
  <c r="AE135" i="20"/>
  <c r="AD135" i="20"/>
  <c r="AC135" i="20"/>
  <c r="AB135" i="20"/>
  <c r="AI135" i="20"/>
  <c r="AG135" i="20"/>
  <c r="BC136" i="22" l="1"/>
  <c r="BA136" i="22"/>
  <c r="AX136" i="22"/>
  <c r="AV136" i="22"/>
  <c r="AS136" i="22"/>
  <c r="AQ136" i="22"/>
  <c r="AN136" i="22"/>
  <c r="AL136" i="22"/>
  <c r="AI136" i="22"/>
  <c r="AG136" i="22"/>
  <c r="AD136" i="22"/>
  <c r="AB136" i="22"/>
  <c r="BD136" i="22"/>
  <c r="BB136" i="22"/>
  <c r="O136" i="22" s="1"/>
  <c r="AY136" i="22"/>
  <c r="AW136" i="22"/>
  <c r="N136" i="22" s="1"/>
  <c r="AT136" i="22"/>
  <c r="AR136" i="22"/>
  <c r="M136" i="22" s="1"/>
  <c r="AO136" i="22"/>
  <c r="AM136" i="22"/>
  <c r="L136" i="22" s="1"/>
  <c r="AJ136" i="22"/>
  <c r="AH136" i="22"/>
  <c r="K136" i="22" s="1"/>
  <c r="AE136" i="22"/>
  <c r="AC136" i="22"/>
  <c r="J136" i="22" s="1"/>
  <c r="BC136" i="20"/>
  <c r="BA136" i="20"/>
  <c r="AX136" i="20"/>
  <c r="AV136" i="20"/>
  <c r="BD136" i="20"/>
  <c r="BB136" i="20"/>
  <c r="AY136" i="20"/>
  <c r="AW136" i="20"/>
  <c r="AT136" i="20"/>
  <c r="AR136" i="20"/>
  <c r="AO136" i="20"/>
  <c r="AM136" i="20"/>
  <c r="AS136" i="20"/>
  <c r="AQ136" i="20"/>
  <c r="AN136" i="20"/>
  <c r="AL136" i="20"/>
  <c r="AE136" i="20"/>
  <c r="AC136" i="20"/>
  <c r="AA137" i="20"/>
  <c r="AJ136" i="20"/>
  <c r="AD136" i="20"/>
  <c r="AH136" i="20"/>
  <c r="AG136" i="20"/>
  <c r="AI136" i="20"/>
  <c r="AB136" i="20"/>
  <c r="BC137" i="22" l="1"/>
  <c r="BA137" i="22"/>
  <c r="AX137" i="22"/>
  <c r="AV137" i="22"/>
  <c r="AS137" i="22"/>
  <c r="AQ137" i="22"/>
  <c r="AN137" i="22"/>
  <c r="AL137" i="22"/>
  <c r="AI137" i="22"/>
  <c r="AG137" i="22"/>
  <c r="AD137" i="22"/>
  <c r="AB137" i="22"/>
  <c r="BD137" i="22"/>
  <c r="BB137" i="22"/>
  <c r="AY137" i="22"/>
  <c r="AW137" i="22"/>
  <c r="AT137" i="22"/>
  <c r="AR137" i="22"/>
  <c r="AO137" i="22"/>
  <c r="AM137" i="22"/>
  <c r="AJ137" i="22"/>
  <c r="AH137" i="22"/>
  <c r="AE137" i="22"/>
  <c r="AC137" i="22"/>
  <c r="J216" i="22"/>
  <c r="K216" i="22"/>
  <c r="L216" i="22"/>
  <c r="M216" i="22"/>
  <c r="N216" i="22"/>
  <c r="O216" i="22"/>
  <c r="BC137" i="20"/>
  <c r="BA137" i="20"/>
  <c r="AX137" i="20"/>
  <c r="AV137" i="20"/>
  <c r="BD137" i="20"/>
  <c r="BB137" i="20"/>
  <c r="AY137" i="20"/>
  <c r="AW137" i="20"/>
  <c r="AT137" i="20"/>
  <c r="AR137" i="20"/>
  <c r="AO137" i="20"/>
  <c r="AM137" i="20"/>
  <c r="AS137" i="20"/>
  <c r="AQ137" i="20"/>
  <c r="AN137" i="20"/>
  <c r="AL137" i="20"/>
  <c r="AI137" i="20"/>
  <c r="AG137" i="20"/>
  <c r="AJ137" i="20"/>
  <c r="AD137" i="20"/>
  <c r="AC137" i="20"/>
  <c r="AB137" i="20"/>
  <c r="AE137" i="20"/>
  <c r="AH137" i="20"/>
  <c r="AA138" i="20"/>
  <c r="J137" i="22" l="1"/>
  <c r="J217" i="22" s="1"/>
  <c r="K137" i="22"/>
  <c r="K217" i="22" s="1"/>
  <c r="L137" i="22"/>
  <c r="L217" i="22" s="1"/>
  <c r="M137" i="22"/>
  <c r="M217" i="22" s="1"/>
  <c r="N137" i="22"/>
  <c r="N217" i="22" s="1"/>
  <c r="O137" i="22"/>
  <c r="O217" i="22" s="1"/>
  <c r="BC138" i="22"/>
  <c r="BA138" i="22"/>
  <c r="AX138" i="22"/>
  <c r="AV138" i="22"/>
  <c r="AS138" i="22"/>
  <c r="AQ138" i="22"/>
  <c r="AN138" i="22"/>
  <c r="AL138" i="22"/>
  <c r="AI138" i="22"/>
  <c r="AG138" i="22"/>
  <c r="AD138" i="22"/>
  <c r="AB138" i="22"/>
  <c r="BD138" i="22"/>
  <c r="BB138" i="22"/>
  <c r="AY138" i="22"/>
  <c r="AW138" i="22"/>
  <c r="AT138" i="22"/>
  <c r="AR138" i="22"/>
  <c r="AO138" i="22"/>
  <c r="AM138" i="22"/>
  <c r="AJ138" i="22"/>
  <c r="AH138" i="22"/>
  <c r="AE138" i="22"/>
  <c r="AC138" i="22"/>
  <c r="BC138" i="20"/>
  <c r="BA138" i="20"/>
  <c r="AX138" i="20"/>
  <c r="AV138" i="20"/>
  <c r="BD138" i="20"/>
  <c r="BB138" i="20"/>
  <c r="AY138" i="20"/>
  <c r="AW138" i="20"/>
  <c r="AT138" i="20"/>
  <c r="AR138" i="20"/>
  <c r="AO138" i="20"/>
  <c r="AM138" i="20"/>
  <c r="AS138" i="20"/>
  <c r="AQ138" i="20"/>
  <c r="AN138" i="20"/>
  <c r="AL138" i="20"/>
  <c r="AI138" i="20"/>
  <c r="AA139" i="20"/>
  <c r="AE138" i="20"/>
  <c r="AD138" i="20"/>
  <c r="AH138" i="20"/>
  <c r="AG138" i="20"/>
  <c r="AJ138" i="20"/>
  <c r="AC138" i="20"/>
  <c r="AB138" i="20"/>
  <c r="J138" i="22" l="1"/>
  <c r="K138" i="22"/>
  <c r="K218" i="22" s="1"/>
  <c r="L138" i="22"/>
  <c r="L218" i="22" s="1"/>
  <c r="M138" i="22"/>
  <c r="M218" i="22" s="1"/>
  <c r="N138" i="22"/>
  <c r="N29" i="22" s="1"/>
  <c r="O138" i="22"/>
  <c r="O218" i="22" s="1"/>
  <c r="BC139" i="22"/>
  <c r="BA139" i="22"/>
  <c r="AX139" i="22"/>
  <c r="AV139" i="22"/>
  <c r="AS139" i="22"/>
  <c r="AQ139" i="22"/>
  <c r="AN139" i="22"/>
  <c r="AL139" i="22"/>
  <c r="AI139" i="22"/>
  <c r="AG139" i="22"/>
  <c r="AD139" i="22"/>
  <c r="AB139" i="22"/>
  <c r="BD139" i="22"/>
  <c r="BB139" i="22"/>
  <c r="AY139" i="22"/>
  <c r="AW139" i="22"/>
  <c r="AT139" i="22"/>
  <c r="AR139" i="22"/>
  <c r="AO139" i="22"/>
  <c r="AM139" i="22"/>
  <c r="AJ139" i="22"/>
  <c r="AH139" i="22"/>
  <c r="AE139" i="22"/>
  <c r="AC139" i="22"/>
  <c r="J218" i="22"/>
  <c r="J29" i="22"/>
  <c r="K29" i="22"/>
  <c r="O29" i="22"/>
  <c r="BC139" i="20"/>
  <c r="BA139" i="20"/>
  <c r="AX139" i="20"/>
  <c r="AV139" i="20"/>
  <c r="BD139" i="20"/>
  <c r="BB139" i="20"/>
  <c r="AY139" i="20"/>
  <c r="AW139" i="20"/>
  <c r="AT139" i="20"/>
  <c r="AR139" i="20"/>
  <c r="AO139" i="20"/>
  <c r="AM139" i="20"/>
  <c r="AS139" i="20"/>
  <c r="AQ139" i="20"/>
  <c r="AN139" i="20"/>
  <c r="AL139" i="20"/>
  <c r="AJ139" i="20"/>
  <c r="AH139" i="20"/>
  <c r="AA140" i="20"/>
  <c r="AE139" i="20"/>
  <c r="AD139" i="20"/>
  <c r="AC139" i="20"/>
  <c r="AB139" i="20"/>
  <c r="AI139" i="20"/>
  <c r="AG139" i="20"/>
  <c r="M29" i="22" l="1"/>
  <c r="N218" i="22"/>
  <c r="L29" i="22"/>
  <c r="BC140" i="22"/>
  <c r="BA140" i="22"/>
  <c r="O140" i="22" s="1"/>
  <c r="O220" i="22" s="1"/>
  <c r="AX140" i="22"/>
  <c r="AV140" i="22"/>
  <c r="N140" i="22" s="1"/>
  <c r="N220" i="22" s="1"/>
  <c r="AS140" i="22"/>
  <c r="AQ140" i="22"/>
  <c r="M140" i="22" s="1"/>
  <c r="M220" i="22" s="1"/>
  <c r="AN140" i="22"/>
  <c r="AL140" i="22"/>
  <c r="L140" i="22" s="1"/>
  <c r="L220" i="22" s="1"/>
  <c r="AI140" i="22"/>
  <c r="AG140" i="22"/>
  <c r="K140" i="22" s="1"/>
  <c r="K220" i="22" s="1"/>
  <c r="AD140" i="22"/>
  <c r="AB140" i="22"/>
  <c r="J140" i="22" s="1"/>
  <c r="J220" i="22" s="1"/>
  <c r="BD140" i="22"/>
  <c r="BB140" i="22"/>
  <c r="AY140" i="22"/>
  <c r="AW140" i="22"/>
  <c r="AT140" i="22"/>
  <c r="AR140" i="22"/>
  <c r="AO140" i="22"/>
  <c r="AM140" i="22"/>
  <c r="AJ140" i="22"/>
  <c r="AH140" i="22"/>
  <c r="AE140" i="22"/>
  <c r="AC140" i="22"/>
  <c r="BC140" i="20"/>
  <c r="BA140" i="20"/>
  <c r="AX140" i="20"/>
  <c r="AV140" i="20"/>
  <c r="BD140" i="20"/>
  <c r="BB140" i="20"/>
  <c r="AY140" i="20"/>
  <c r="AW140" i="20"/>
  <c r="AT140" i="20"/>
  <c r="AR140" i="20"/>
  <c r="AO140" i="20"/>
  <c r="AM140" i="20"/>
  <c r="AS140" i="20"/>
  <c r="AQ140" i="20"/>
  <c r="AN140" i="20"/>
  <c r="AL140" i="20"/>
  <c r="AE140" i="20"/>
  <c r="AC140" i="20"/>
  <c r="AA141" i="20"/>
  <c r="AJ140" i="20"/>
  <c r="AD140" i="20"/>
  <c r="AH140" i="20"/>
  <c r="AG140" i="20"/>
  <c r="AI140" i="20"/>
  <c r="AB140" i="20"/>
  <c r="Z177" i="20"/>
  <c r="BC141" i="22" l="1"/>
  <c r="BA141" i="22"/>
  <c r="AX141" i="22"/>
  <c r="AV141" i="22"/>
  <c r="AS141" i="22"/>
  <c r="AQ141" i="22"/>
  <c r="AN141" i="22"/>
  <c r="AL141" i="22"/>
  <c r="AI141" i="22"/>
  <c r="AG141" i="22"/>
  <c r="AD141" i="22"/>
  <c r="AB141" i="22"/>
  <c r="BD141" i="22"/>
  <c r="BB141" i="22"/>
  <c r="O141" i="22" s="1"/>
  <c r="AY141" i="22"/>
  <c r="AW141" i="22"/>
  <c r="N141" i="22" s="1"/>
  <c r="AT141" i="22"/>
  <c r="AR141" i="22"/>
  <c r="M141" i="22" s="1"/>
  <c r="AO141" i="22"/>
  <c r="AM141" i="22"/>
  <c r="L141" i="22" s="1"/>
  <c r="AJ141" i="22"/>
  <c r="AH141" i="22"/>
  <c r="K141" i="22" s="1"/>
  <c r="AE141" i="22"/>
  <c r="AC141" i="22"/>
  <c r="J141" i="22" s="1"/>
  <c r="BC141" i="20"/>
  <c r="BA141" i="20"/>
  <c r="AX141" i="20"/>
  <c r="AV141" i="20"/>
  <c r="BD141" i="20"/>
  <c r="BB141" i="20"/>
  <c r="AY141" i="20"/>
  <c r="AW141" i="20"/>
  <c r="AT141" i="20"/>
  <c r="AR141" i="20"/>
  <c r="AO141" i="20"/>
  <c r="AM141" i="20"/>
  <c r="AS141" i="20"/>
  <c r="AQ141" i="20"/>
  <c r="AN141" i="20"/>
  <c r="AL141" i="20"/>
  <c r="AI141" i="20"/>
  <c r="AG141" i="20"/>
  <c r="AJ141" i="20"/>
  <c r="AD141" i="20"/>
  <c r="AC141" i="20"/>
  <c r="AB141" i="20"/>
  <c r="AE141" i="20"/>
  <c r="AH141" i="20"/>
  <c r="AA142" i="20"/>
  <c r="T140" i="20"/>
  <c r="Z140" i="20" s="1"/>
  <c r="T136" i="20"/>
  <c r="Z136" i="20" s="1"/>
  <c r="T128" i="20"/>
  <c r="Z128" i="20" s="1"/>
  <c r="T122" i="20"/>
  <c r="Z122" i="20" s="1"/>
  <c r="T144" i="20"/>
  <c r="Z144" i="20" s="1"/>
  <c r="T124" i="20"/>
  <c r="T141" i="20"/>
  <c r="Z141" i="20" s="1"/>
  <c r="T126" i="20"/>
  <c r="Z126" i="20" s="1"/>
  <c r="T118" i="20"/>
  <c r="Z118" i="20" s="1"/>
  <c r="T138" i="20"/>
  <c r="Z138" i="20" s="1"/>
  <c r="T123" i="20"/>
  <c r="Z123" i="20" s="1"/>
  <c r="T125" i="20"/>
  <c r="Z125" i="20" s="1"/>
  <c r="Z152" i="20"/>
  <c r="Z154" i="20"/>
  <c r="Z161" i="20"/>
  <c r="T137" i="20"/>
  <c r="Z137" i="20" s="1"/>
  <c r="T120" i="20"/>
  <c r="Z120" i="20" s="1"/>
  <c r="Z171" i="20"/>
  <c r="T117" i="20"/>
  <c r="Z117" i="20" s="1"/>
  <c r="Z151" i="20"/>
  <c r="Z163" i="20"/>
  <c r="T132" i="20"/>
  <c r="Z132" i="20" s="1"/>
  <c r="T148" i="20"/>
  <c r="Z148" i="20" s="1"/>
  <c r="T145" i="20"/>
  <c r="Z145" i="20" s="1"/>
  <c r="T133" i="20"/>
  <c r="Z133" i="20" s="1"/>
  <c r="T134" i="20"/>
  <c r="Z134" i="20" s="1"/>
  <c r="T142" i="20"/>
  <c r="Z142" i="20" s="1"/>
  <c r="Z165" i="20"/>
  <c r="Z164" i="20"/>
  <c r="T119" i="20"/>
  <c r="Z119" i="20" s="1"/>
  <c r="T129" i="20"/>
  <c r="Z129" i="20" s="1"/>
  <c r="Z166" i="20"/>
  <c r="T130" i="20"/>
  <c r="Z130" i="20" s="1"/>
  <c r="T146" i="20"/>
  <c r="Z146" i="20" s="1"/>
  <c r="Z168" i="20"/>
  <c r="N130" i="20" l="1"/>
  <c r="L130" i="20"/>
  <c r="J130" i="20"/>
  <c r="O130" i="20"/>
  <c r="O210" i="20" s="1"/>
  <c r="M130" i="20"/>
  <c r="K130" i="20"/>
  <c r="K132" i="20"/>
  <c r="O132" i="20"/>
  <c r="N132" i="20"/>
  <c r="J132" i="20"/>
  <c r="J212" i="20" s="1"/>
  <c r="M132" i="20"/>
  <c r="L132" i="20"/>
  <c r="N210" i="20"/>
  <c r="L210" i="20"/>
  <c r="BC142" i="22"/>
  <c r="BA142" i="22"/>
  <c r="AX142" i="22"/>
  <c r="AV142" i="22"/>
  <c r="AS142" i="22"/>
  <c r="AQ142" i="22"/>
  <c r="AN142" i="22"/>
  <c r="AL142" i="22"/>
  <c r="AI142" i="22"/>
  <c r="AG142" i="22"/>
  <c r="AD142" i="22"/>
  <c r="AB142" i="22"/>
  <c r="BD142" i="22"/>
  <c r="BB142" i="22"/>
  <c r="AY142" i="22"/>
  <c r="AW142" i="22"/>
  <c r="AT142" i="22"/>
  <c r="AR142" i="22"/>
  <c r="AO142" i="22"/>
  <c r="AM142" i="22"/>
  <c r="AJ142" i="22"/>
  <c r="AH142" i="22"/>
  <c r="AE142" i="22"/>
  <c r="AC142" i="22"/>
  <c r="J221" i="22"/>
  <c r="K221" i="22"/>
  <c r="L221" i="22"/>
  <c r="M221" i="22"/>
  <c r="N221" i="22"/>
  <c r="O221" i="22"/>
  <c r="BC142" i="20"/>
  <c r="BA142" i="20"/>
  <c r="AX142" i="20"/>
  <c r="AV142" i="20"/>
  <c r="BD142" i="20"/>
  <c r="BB142" i="20"/>
  <c r="AY142" i="20"/>
  <c r="AW142" i="20"/>
  <c r="AT142" i="20"/>
  <c r="AR142" i="20"/>
  <c r="AO142" i="20"/>
  <c r="AM142" i="20"/>
  <c r="AS142" i="20"/>
  <c r="AQ142" i="20"/>
  <c r="AN142" i="20"/>
  <c r="AL142" i="20"/>
  <c r="L142" i="20" s="1"/>
  <c r="L222" i="20" s="1"/>
  <c r="AJ142" i="20"/>
  <c r="AC142" i="20"/>
  <c r="AA143" i="20"/>
  <c r="AE142" i="20"/>
  <c r="AD142" i="20"/>
  <c r="AH142" i="20"/>
  <c r="AG142" i="20"/>
  <c r="AI142" i="20"/>
  <c r="AB142" i="20"/>
  <c r="M210" i="20"/>
  <c r="K210" i="20"/>
  <c r="J210" i="20"/>
  <c r="O133" i="20"/>
  <c r="O213" i="20" s="1"/>
  <c r="M133" i="20"/>
  <c r="M213" i="20" s="1"/>
  <c r="K133" i="20"/>
  <c r="K213" i="20" s="1"/>
  <c r="N133" i="20"/>
  <c r="N213" i="20" s="1"/>
  <c r="L133" i="20"/>
  <c r="L213" i="20" s="1"/>
  <c r="J133" i="20"/>
  <c r="J213" i="20" s="1"/>
  <c r="N119" i="20"/>
  <c r="N199" i="20" s="1"/>
  <c r="L119" i="20"/>
  <c r="L199" i="20" s="1"/>
  <c r="O119" i="20"/>
  <c r="O199" i="20" s="1"/>
  <c r="M119" i="20"/>
  <c r="M199" i="20" s="1"/>
  <c r="K119" i="20"/>
  <c r="K199" i="20" s="1"/>
  <c r="N134" i="20"/>
  <c r="N214" i="20" s="1"/>
  <c r="L134" i="20"/>
  <c r="L214" i="20" s="1"/>
  <c r="J134" i="20"/>
  <c r="J214" i="20" s="1"/>
  <c r="O134" i="20"/>
  <c r="O214" i="20" s="1"/>
  <c r="M134" i="20"/>
  <c r="M214" i="20" s="1"/>
  <c r="K134" i="20"/>
  <c r="K214" i="20" s="1"/>
  <c r="K212" i="20"/>
  <c r="N137" i="20"/>
  <c r="N217" i="20" s="1"/>
  <c r="L137" i="20"/>
  <c r="L217" i="20" s="1"/>
  <c r="J137" i="20"/>
  <c r="J217" i="20" s="1"/>
  <c r="O137" i="20"/>
  <c r="O217" i="20" s="1"/>
  <c r="M137" i="20"/>
  <c r="M217" i="20" s="1"/>
  <c r="K137" i="20"/>
  <c r="K217" i="20" s="1"/>
  <c r="O138" i="20"/>
  <c r="O218" i="20" s="1"/>
  <c r="M138" i="20"/>
  <c r="M218" i="20" s="1"/>
  <c r="K138" i="20"/>
  <c r="K218" i="20" s="1"/>
  <c r="N138" i="20"/>
  <c r="N218" i="20" s="1"/>
  <c r="L138" i="20"/>
  <c r="L218" i="20" s="1"/>
  <c r="J138" i="20"/>
  <c r="J218" i="20" s="1"/>
  <c r="N126" i="20"/>
  <c r="N206" i="20" s="1"/>
  <c r="L126" i="20"/>
  <c r="L206" i="20" s="1"/>
  <c r="J126" i="20"/>
  <c r="J206" i="20" s="1"/>
  <c r="O126" i="20"/>
  <c r="O206" i="20" s="1"/>
  <c r="M126" i="20"/>
  <c r="M206" i="20" s="1"/>
  <c r="K126" i="20"/>
  <c r="K206" i="20" s="1"/>
  <c r="N122" i="20"/>
  <c r="L122" i="20"/>
  <c r="J122" i="20"/>
  <c r="O122" i="20"/>
  <c r="M122" i="20"/>
  <c r="K122" i="20"/>
  <c r="K202" i="20" s="1"/>
  <c r="O136" i="20"/>
  <c r="M136" i="20"/>
  <c r="K136" i="20"/>
  <c r="K216" i="20" s="1"/>
  <c r="N136" i="20"/>
  <c r="L136" i="20"/>
  <c r="J136" i="20"/>
  <c r="N129" i="20"/>
  <c r="N209" i="20" s="1"/>
  <c r="L129" i="20"/>
  <c r="L209" i="20" s="1"/>
  <c r="J129" i="20"/>
  <c r="J209" i="20" s="1"/>
  <c r="O129" i="20"/>
  <c r="O209" i="20" s="1"/>
  <c r="M129" i="20"/>
  <c r="M209" i="20" s="1"/>
  <c r="K129" i="20"/>
  <c r="K209" i="20" s="1"/>
  <c r="N142" i="20"/>
  <c r="N222" i="20" s="1"/>
  <c r="O142" i="20"/>
  <c r="O222" i="20" s="1"/>
  <c r="M142" i="20"/>
  <c r="M222" i="20" s="1"/>
  <c r="K142" i="20"/>
  <c r="K222" i="20" s="1"/>
  <c r="N117" i="20"/>
  <c r="L117" i="20"/>
  <c r="J117" i="20"/>
  <c r="O117" i="20"/>
  <c r="M117" i="20"/>
  <c r="K117" i="20"/>
  <c r="K197" i="20" s="1"/>
  <c r="O120" i="20"/>
  <c r="O200" i="20" s="1"/>
  <c r="M120" i="20"/>
  <c r="M200" i="20" s="1"/>
  <c r="K120" i="20"/>
  <c r="K200" i="20" s="1"/>
  <c r="N120" i="20"/>
  <c r="N200" i="20" s="1"/>
  <c r="L120" i="20"/>
  <c r="L200" i="20" s="1"/>
  <c r="J120" i="20"/>
  <c r="J200" i="20" s="1"/>
  <c r="O123" i="20"/>
  <c r="O203" i="20" s="1"/>
  <c r="M123" i="20"/>
  <c r="M203" i="20" s="1"/>
  <c r="K123" i="20"/>
  <c r="K203" i="20" s="1"/>
  <c r="N123" i="20"/>
  <c r="N203" i="20" s="1"/>
  <c r="L123" i="20"/>
  <c r="L203" i="20" s="1"/>
  <c r="J123" i="20"/>
  <c r="J203" i="20" s="1"/>
  <c r="O118" i="20"/>
  <c r="O198" i="20" s="1"/>
  <c r="M118" i="20"/>
  <c r="M198" i="20" s="1"/>
  <c r="K118" i="20"/>
  <c r="J118" i="20"/>
  <c r="N118" i="20"/>
  <c r="N198" i="20" s="1"/>
  <c r="L118" i="20"/>
  <c r="L198" i="20" s="1"/>
  <c r="O141" i="20"/>
  <c r="O221" i="20" s="1"/>
  <c r="M141" i="20"/>
  <c r="M221" i="20" s="1"/>
  <c r="K141" i="20"/>
  <c r="K221" i="20" s="1"/>
  <c r="N141" i="20"/>
  <c r="N221" i="20" s="1"/>
  <c r="L141" i="20"/>
  <c r="L221" i="20" s="1"/>
  <c r="J141" i="20"/>
  <c r="J221" i="20" s="1"/>
  <c r="O128" i="20"/>
  <c r="M128" i="20"/>
  <c r="K128" i="20"/>
  <c r="K208" i="20" s="1"/>
  <c r="N128" i="20"/>
  <c r="L128" i="20"/>
  <c r="J128" i="20"/>
  <c r="N140" i="20"/>
  <c r="L140" i="20"/>
  <c r="J140" i="20"/>
  <c r="J220" i="20" s="1"/>
  <c r="O140" i="20"/>
  <c r="M140" i="20"/>
  <c r="K140" i="20"/>
  <c r="K220" i="20" s="1"/>
  <c r="Z124" i="20"/>
  <c r="J119" i="20"/>
  <c r="J142" i="20" l="1"/>
  <c r="J222" i="20" s="1"/>
  <c r="J142" i="22"/>
  <c r="J222" i="22" s="1"/>
  <c r="K142" i="22"/>
  <c r="K222" i="22" s="1"/>
  <c r="L142" i="22"/>
  <c r="L222" i="22" s="1"/>
  <c r="M142" i="22"/>
  <c r="M222" i="22" s="1"/>
  <c r="N142" i="22"/>
  <c r="N222" i="22" s="1"/>
  <c r="O142" i="22"/>
  <c r="O222" i="22" s="1"/>
  <c r="C112" i="20"/>
  <c r="C192" i="20"/>
  <c r="C60" i="20"/>
  <c r="M30" i="22"/>
  <c r="J30" i="22"/>
  <c r="BC143" i="22"/>
  <c r="BA143" i="22"/>
  <c r="AX143" i="22"/>
  <c r="AV143" i="22"/>
  <c r="AS143" i="22"/>
  <c r="AQ143" i="22"/>
  <c r="AN143" i="22"/>
  <c r="AL143" i="22"/>
  <c r="AI143" i="22"/>
  <c r="AG143" i="22"/>
  <c r="AD143" i="22"/>
  <c r="AB143" i="22"/>
  <c r="BD143" i="22"/>
  <c r="BB143" i="22"/>
  <c r="AY143" i="22"/>
  <c r="AW143" i="22"/>
  <c r="AT143" i="22"/>
  <c r="AR143" i="22"/>
  <c r="AO143" i="22"/>
  <c r="AM143" i="22"/>
  <c r="AJ143" i="22"/>
  <c r="AH143" i="22"/>
  <c r="AE143" i="22"/>
  <c r="AC143" i="22"/>
  <c r="BC143" i="20"/>
  <c r="BA143" i="20"/>
  <c r="AX143" i="20"/>
  <c r="AV143" i="20"/>
  <c r="BD143" i="20"/>
  <c r="BB143" i="20"/>
  <c r="AY143" i="20"/>
  <c r="AW143" i="20"/>
  <c r="AT143" i="20"/>
  <c r="AR143" i="20"/>
  <c r="AO143" i="20"/>
  <c r="AM143" i="20"/>
  <c r="AS143" i="20"/>
  <c r="AQ143" i="20"/>
  <c r="AN143" i="20"/>
  <c r="AL143" i="20"/>
  <c r="AJ143" i="20"/>
  <c r="AI143" i="20"/>
  <c r="AH143" i="20"/>
  <c r="AG143" i="20"/>
  <c r="AA144" i="20"/>
  <c r="AE143" i="20"/>
  <c r="AD143" i="20"/>
  <c r="AC143" i="20"/>
  <c r="AB143" i="20"/>
  <c r="L208" i="20"/>
  <c r="L27" i="20"/>
  <c r="O220" i="20"/>
  <c r="O30" i="20"/>
  <c r="L220" i="20"/>
  <c r="L30" i="20"/>
  <c r="N208" i="20"/>
  <c r="N27" i="20"/>
  <c r="M208" i="20"/>
  <c r="M27" i="20"/>
  <c r="O197" i="20"/>
  <c r="O25" i="20"/>
  <c r="L197" i="20"/>
  <c r="L25" i="20"/>
  <c r="N216" i="20"/>
  <c r="N29" i="20"/>
  <c r="M216" i="20"/>
  <c r="M29" i="20"/>
  <c r="O202" i="20"/>
  <c r="L202" i="20"/>
  <c r="O212" i="20"/>
  <c r="O28" i="20"/>
  <c r="L212" i="20"/>
  <c r="L28" i="20"/>
  <c r="M220" i="20"/>
  <c r="M30" i="20"/>
  <c r="N220" i="20"/>
  <c r="N30" i="20"/>
  <c r="O208" i="20"/>
  <c r="O27" i="20"/>
  <c r="M197" i="20"/>
  <c r="M25" i="20"/>
  <c r="N197" i="20"/>
  <c r="N25" i="20"/>
  <c r="L216" i="20"/>
  <c r="L29" i="20"/>
  <c r="O216" i="20"/>
  <c r="O29" i="20"/>
  <c r="M202" i="20"/>
  <c r="N202" i="20"/>
  <c r="M212" i="20"/>
  <c r="M28" i="20"/>
  <c r="N212" i="20"/>
  <c r="N28" i="20"/>
  <c r="J199" i="20"/>
  <c r="J197" i="20"/>
  <c r="J208" i="20"/>
  <c r="J27" i="20"/>
  <c r="K27" i="20"/>
  <c r="J29" i="20"/>
  <c r="K198" i="20"/>
  <c r="J198" i="20"/>
  <c r="J25" i="20"/>
  <c r="J28" i="20"/>
  <c r="J216" i="20"/>
  <c r="J30" i="20"/>
  <c r="K29" i="20"/>
  <c r="K30" i="20"/>
  <c r="K28" i="20"/>
  <c r="J202" i="20"/>
  <c r="K25" i="20"/>
  <c r="K30" i="22" l="1"/>
  <c r="O30" i="22"/>
  <c r="L30" i="22"/>
  <c r="N30" i="22"/>
  <c r="BC144" i="22"/>
  <c r="BA144" i="22"/>
  <c r="AX144" i="22"/>
  <c r="AV144" i="22"/>
  <c r="AS144" i="22"/>
  <c r="AQ144" i="22"/>
  <c r="AN144" i="22"/>
  <c r="AL144" i="22"/>
  <c r="AI144" i="22"/>
  <c r="AG144" i="22"/>
  <c r="AD144" i="22"/>
  <c r="AB144" i="22"/>
  <c r="BD144" i="22"/>
  <c r="BB144" i="22"/>
  <c r="AY144" i="22"/>
  <c r="AW144" i="22"/>
  <c r="AT144" i="22"/>
  <c r="AR144" i="22"/>
  <c r="AO144" i="22"/>
  <c r="AM144" i="22"/>
  <c r="AJ144" i="22"/>
  <c r="AH144" i="22"/>
  <c r="AE144" i="22"/>
  <c r="AC144" i="22"/>
  <c r="BC144" i="20"/>
  <c r="BA144" i="20"/>
  <c r="AX144" i="20"/>
  <c r="AV144" i="20"/>
  <c r="BD144" i="20"/>
  <c r="BB144" i="20"/>
  <c r="AY144" i="20"/>
  <c r="AW144" i="20"/>
  <c r="AT144" i="20"/>
  <c r="AR144" i="20"/>
  <c r="AO144" i="20"/>
  <c r="AM144" i="20"/>
  <c r="AS144" i="20"/>
  <c r="AQ144" i="20"/>
  <c r="AN144" i="20"/>
  <c r="AL144" i="20"/>
  <c r="AJ144" i="20"/>
  <c r="AD144" i="20"/>
  <c r="AH144" i="20"/>
  <c r="K144" i="20" s="1"/>
  <c r="K224" i="20" s="1"/>
  <c r="AG144" i="20"/>
  <c r="AE144" i="20"/>
  <c r="AI144" i="20"/>
  <c r="AC144" i="20"/>
  <c r="J144" i="20" s="1"/>
  <c r="J224" i="20" s="1"/>
  <c r="AB144" i="20"/>
  <c r="AA145" i="20"/>
  <c r="Z174" i="20"/>
  <c r="Z153" i="20"/>
  <c r="Z162" i="20"/>
  <c r="L144" i="20" l="1"/>
  <c r="M144" i="20"/>
  <c r="N144" i="20"/>
  <c r="O144" i="20"/>
  <c r="O224" i="20" s="1"/>
  <c r="J144" i="22"/>
  <c r="K144" i="22"/>
  <c r="K224" i="22" s="1"/>
  <c r="L144" i="22"/>
  <c r="M144" i="22"/>
  <c r="N144" i="22"/>
  <c r="O144" i="22"/>
  <c r="O224" i="22" s="1"/>
  <c r="BC145" i="22"/>
  <c r="BA145" i="22"/>
  <c r="AX145" i="22"/>
  <c r="AV145" i="22"/>
  <c r="AS145" i="22"/>
  <c r="AQ145" i="22"/>
  <c r="AN145" i="22"/>
  <c r="AL145" i="22"/>
  <c r="AI145" i="22"/>
  <c r="AG145" i="22"/>
  <c r="AD145" i="22"/>
  <c r="AB145" i="22"/>
  <c r="BD145" i="22"/>
  <c r="BB145" i="22"/>
  <c r="AY145" i="22"/>
  <c r="AW145" i="22"/>
  <c r="AT145" i="22"/>
  <c r="AR145" i="22"/>
  <c r="AO145" i="22"/>
  <c r="AM145" i="22"/>
  <c r="AJ145" i="22"/>
  <c r="AH145" i="22"/>
  <c r="AE145" i="22"/>
  <c r="AC145" i="22"/>
  <c r="J224" i="22"/>
  <c r="L224" i="22"/>
  <c r="M224" i="22"/>
  <c r="N224" i="22"/>
  <c r="L224" i="20"/>
  <c r="M224" i="20"/>
  <c r="BC145" i="20"/>
  <c r="BA145" i="20"/>
  <c r="AX145" i="20"/>
  <c r="AV145" i="20"/>
  <c r="BD145" i="20"/>
  <c r="BB145" i="20"/>
  <c r="AY145" i="20"/>
  <c r="AW145" i="20"/>
  <c r="AT145" i="20"/>
  <c r="AR145" i="20"/>
  <c r="AO145" i="20"/>
  <c r="AM145" i="20"/>
  <c r="AS145" i="20"/>
  <c r="M145" i="20" s="1"/>
  <c r="M225" i="20" s="1"/>
  <c r="AQ145" i="20"/>
  <c r="AN145" i="20"/>
  <c r="AL145" i="20"/>
  <c r="O145" i="20"/>
  <c r="O225" i="20" s="1"/>
  <c r="AD145" i="20"/>
  <c r="AB145" i="20"/>
  <c r="AE145" i="20"/>
  <c r="AI145" i="20"/>
  <c r="AH145" i="20"/>
  <c r="AG145" i="20"/>
  <c r="AA146" i="20"/>
  <c r="AJ145" i="20"/>
  <c r="AC145" i="20"/>
  <c r="N224" i="20"/>
  <c r="N145" i="20" l="1"/>
  <c r="N225" i="20" s="1"/>
  <c r="J145" i="22"/>
  <c r="J225" i="22" s="1"/>
  <c r="K145" i="22"/>
  <c r="K225" i="22" s="1"/>
  <c r="L145" i="22"/>
  <c r="L225" i="22" s="1"/>
  <c r="M145" i="22"/>
  <c r="M225" i="22" s="1"/>
  <c r="N145" i="22"/>
  <c r="N225" i="22" s="1"/>
  <c r="O145" i="22"/>
  <c r="O225" i="22" s="1"/>
  <c r="K145" i="20"/>
  <c r="L145" i="20"/>
  <c r="BC146" i="22"/>
  <c r="BA146" i="22"/>
  <c r="O146" i="22" s="1"/>
  <c r="AX146" i="22"/>
  <c r="AV146" i="22"/>
  <c r="N146" i="22" s="1"/>
  <c r="AS146" i="22"/>
  <c r="AQ146" i="22"/>
  <c r="M146" i="22" s="1"/>
  <c r="AN146" i="22"/>
  <c r="AL146" i="22"/>
  <c r="L146" i="22" s="1"/>
  <c r="AI146" i="22"/>
  <c r="AG146" i="22"/>
  <c r="K146" i="22" s="1"/>
  <c r="AD146" i="22"/>
  <c r="AB146" i="22"/>
  <c r="J146" i="22" s="1"/>
  <c r="BD146" i="22"/>
  <c r="BB146" i="22"/>
  <c r="AY146" i="22"/>
  <c r="AW146" i="22"/>
  <c r="AT146" i="22"/>
  <c r="AR146" i="22"/>
  <c r="AO146" i="22"/>
  <c r="AM146" i="22"/>
  <c r="AJ146" i="22"/>
  <c r="AH146" i="22"/>
  <c r="AE146" i="22"/>
  <c r="AC146" i="22"/>
  <c r="K225" i="20"/>
  <c r="L225" i="20"/>
  <c r="BC146" i="20"/>
  <c r="BA146" i="20"/>
  <c r="O146" i="20" s="1"/>
  <c r="AX146" i="20"/>
  <c r="AV146" i="20"/>
  <c r="N146" i="20" s="1"/>
  <c r="BD146" i="20"/>
  <c r="BB146" i="20"/>
  <c r="AY146" i="20"/>
  <c r="AW146" i="20"/>
  <c r="AT146" i="20"/>
  <c r="AR146" i="20"/>
  <c r="AO146" i="20"/>
  <c r="AM146" i="20"/>
  <c r="AS146" i="20"/>
  <c r="AQ146" i="20"/>
  <c r="M146" i="20" s="1"/>
  <c r="AN146" i="20"/>
  <c r="AL146" i="20"/>
  <c r="L146" i="20" s="1"/>
  <c r="AE146" i="20"/>
  <c r="AC146" i="20"/>
  <c r="AA147" i="20"/>
  <c r="AJ146" i="20"/>
  <c r="AD146" i="20"/>
  <c r="AH146" i="20"/>
  <c r="AG146" i="20"/>
  <c r="K146" i="20" s="1"/>
  <c r="AI146" i="20"/>
  <c r="AB146" i="20"/>
  <c r="J146" i="20" s="1"/>
  <c r="J226" i="20" s="1"/>
  <c r="J145" i="20"/>
  <c r="J225" i="20" s="1"/>
  <c r="BC147" i="22" l="1"/>
  <c r="BA147" i="22"/>
  <c r="AX147" i="22"/>
  <c r="AV147" i="22"/>
  <c r="AS147" i="22"/>
  <c r="AQ147" i="22"/>
  <c r="AN147" i="22"/>
  <c r="AL147" i="22"/>
  <c r="AI147" i="22"/>
  <c r="AG147" i="22"/>
  <c r="AD147" i="22"/>
  <c r="AB147" i="22"/>
  <c r="BD147" i="22"/>
  <c r="BB147" i="22"/>
  <c r="AY147" i="22"/>
  <c r="AW147" i="22"/>
  <c r="AT147" i="22"/>
  <c r="AR147" i="22"/>
  <c r="AO147" i="22"/>
  <c r="AM147" i="22"/>
  <c r="AJ147" i="22"/>
  <c r="AH147" i="22"/>
  <c r="AE147" i="22"/>
  <c r="AC147" i="22"/>
  <c r="J226" i="22"/>
  <c r="J31" i="22"/>
  <c r="K226" i="22"/>
  <c r="K31" i="22"/>
  <c r="L226" i="22"/>
  <c r="L31" i="22"/>
  <c r="M226" i="22"/>
  <c r="M31" i="22"/>
  <c r="N226" i="22"/>
  <c r="N31" i="22"/>
  <c r="O226" i="22"/>
  <c r="O31" i="22"/>
  <c r="M226" i="20"/>
  <c r="M31" i="20"/>
  <c r="K226" i="20"/>
  <c r="K31" i="20"/>
  <c r="L226" i="20"/>
  <c r="L31" i="20"/>
  <c r="N226" i="20"/>
  <c r="N31" i="20"/>
  <c r="O226" i="20"/>
  <c r="O31" i="20"/>
  <c r="BC147" i="20"/>
  <c r="BA147" i="20"/>
  <c r="AX147" i="20"/>
  <c r="AV147" i="20"/>
  <c r="BD147" i="20"/>
  <c r="BB147" i="20"/>
  <c r="AY147" i="20"/>
  <c r="AW147" i="20"/>
  <c r="AT147" i="20"/>
  <c r="AR147" i="20"/>
  <c r="AO147" i="20"/>
  <c r="AM147" i="20"/>
  <c r="AS147" i="20"/>
  <c r="AQ147" i="20"/>
  <c r="AN147" i="20"/>
  <c r="AL147" i="20"/>
  <c r="AJ147" i="20"/>
  <c r="AH147" i="20"/>
  <c r="AE147" i="20"/>
  <c r="AD147" i="20"/>
  <c r="AC147" i="20"/>
  <c r="AB147" i="20"/>
  <c r="AI147" i="20"/>
  <c r="AG147" i="20"/>
  <c r="AA148" i="20"/>
  <c r="J31" i="20"/>
  <c r="BC148" i="22" l="1"/>
  <c r="BA148" i="22"/>
  <c r="AX148" i="22"/>
  <c r="AV148" i="22"/>
  <c r="AS148" i="22"/>
  <c r="AQ148" i="22"/>
  <c r="AN148" i="22"/>
  <c r="AL148" i="22"/>
  <c r="AI148" i="22"/>
  <c r="AG148" i="22"/>
  <c r="AD148" i="22"/>
  <c r="AB148" i="22"/>
  <c r="BD148" i="22"/>
  <c r="BB148" i="22"/>
  <c r="AY148" i="22"/>
  <c r="AW148" i="22"/>
  <c r="AT148" i="22"/>
  <c r="AR148" i="22"/>
  <c r="AO148" i="22"/>
  <c r="AM148" i="22"/>
  <c r="AJ148" i="22"/>
  <c r="AH148" i="22"/>
  <c r="AE148" i="22"/>
  <c r="AC148" i="22"/>
  <c r="BC148" i="20"/>
  <c r="BA148" i="20"/>
  <c r="AX148" i="20"/>
  <c r="AV148" i="20"/>
  <c r="BD148" i="20"/>
  <c r="BB148" i="20"/>
  <c r="AY148" i="20"/>
  <c r="AW148" i="20"/>
  <c r="AT148" i="20"/>
  <c r="AR148" i="20"/>
  <c r="AO148" i="20"/>
  <c r="AM148" i="20"/>
  <c r="AS148" i="20"/>
  <c r="AQ148" i="20"/>
  <c r="M148" i="20" s="1"/>
  <c r="AN148" i="20"/>
  <c r="AL148" i="20"/>
  <c r="L148" i="20" s="1"/>
  <c r="AE148" i="20"/>
  <c r="AI148" i="20"/>
  <c r="AC148" i="20"/>
  <c r="AB148" i="20"/>
  <c r="AA149" i="20"/>
  <c r="AJ148" i="20"/>
  <c r="AD148" i="20"/>
  <c r="AH148" i="20"/>
  <c r="AG148" i="20"/>
  <c r="J148" i="20" l="1"/>
  <c r="K148" i="20"/>
  <c r="N148" i="20"/>
  <c r="O148" i="20"/>
  <c r="O32" i="20" s="1"/>
  <c r="J148" i="22"/>
  <c r="K148" i="22"/>
  <c r="K228" i="22" s="1"/>
  <c r="L148" i="22"/>
  <c r="M148" i="22"/>
  <c r="M228" i="22" s="1"/>
  <c r="N148" i="22"/>
  <c r="O148" i="22"/>
  <c r="O228" i="22" s="1"/>
  <c r="BC149" i="22"/>
  <c r="BA149" i="22"/>
  <c r="AX149" i="22"/>
  <c r="AV149" i="22"/>
  <c r="AS149" i="22"/>
  <c r="AQ149" i="22"/>
  <c r="AN149" i="22"/>
  <c r="AL149" i="22"/>
  <c r="AI149" i="22"/>
  <c r="AG149" i="22"/>
  <c r="AD149" i="22"/>
  <c r="AB149" i="22"/>
  <c r="BD149" i="22"/>
  <c r="BB149" i="22"/>
  <c r="AY149" i="22"/>
  <c r="AW149" i="22"/>
  <c r="AT149" i="22"/>
  <c r="AR149" i="22"/>
  <c r="AO149" i="22"/>
  <c r="AM149" i="22"/>
  <c r="AJ149" i="22"/>
  <c r="AH149" i="22"/>
  <c r="AE149" i="22"/>
  <c r="AC149" i="22"/>
  <c r="J228" i="22"/>
  <c r="J32" i="22"/>
  <c r="L228" i="22"/>
  <c r="L32" i="22"/>
  <c r="M32" i="22"/>
  <c r="N228" i="22"/>
  <c r="N32" i="22"/>
  <c r="K228" i="20"/>
  <c r="K32" i="20"/>
  <c r="L228" i="20"/>
  <c r="L32" i="20"/>
  <c r="J32" i="20"/>
  <c r="J228" i="20"/>
  <c r="N228" i="20"/>
  <c r="N32" i="20"/>
  <c r="BC149" i="20"/>
  <c r="BA149" i="20"/>
  <c r="AX149" i="20"/>
  <c r="AV149" i="20"/>
  <c r="BD149" i="20"/>
  <c r="BB149" i="20"/>
  <c r="AY149" i="20"/>
  <c r="AW149" i="20"/>
  <c r="AT149" i="20"/>
  <c r="AR149" i="20"/>
  <c r="AO149" i="20"/>
  <c r="AM149" i="20"/>
  <c r="AS149" i="20"/>
  <c r="AQ149" i="20"/>
  <c r="AN149" i="20"/>
  <c r="AL149" i="20"/>
  <c r="AE149" i="20"/>
  <c r="AI149" i="20"/>
  <c r="AH149" i="20"/>
  <c r="AG149" i="20"/>
  <c r="AA150" i="20"/>
  <c r="AJ149" i="20"/>
  <c r="AD149" i="20"/>
  <c r="AC149" i="20"/>
  <c r="AB149" i="20"/>
  <c r="M32" i="20"/>
  <c r="M228" i="20"/>
  <c r="O228" i="20"/>
  <c r="K32" i="22" l="1"/>
  <c r="O32" i="22"/>
  <c r="BC150" i="22"/>
  <c r="BA150" i="22"/>
  <c r="AX150" i="22"/>
  <c r="AV150" i="22"/>
  <c r="AS150" i="22"/>
  <c r="AQ150" i="22"/>
  <c r="AN150" i="22"/>
  <c r="AL150" i="22"/>
  <c r="AI150" i="22"/>
  <c r="AG150" i="22"/>
  <c r="AD150" i="22"/>
  <c r="AB150" i="22"/>
  <c r="BD150" i="22"/>
  <c r="BB150" i="22"/>
  <c r="AY150" i="22"/>
  <c r="AW150" i="22"/>
  <c r="AT150" i="22"/>
  <c r="AR150" i="22"/>
  <c r="AO150" i="22"/>
  <c r="AM150" i="22"/>
  <c r="AJ150" i="22"/>
  <c r="AH150" i="22"/>
  <c r="AE150" i="22"/>
  <c r="AC150" i="22"/>
  <c r="BC150" i="20"/>
  <c r="BA150" i="20"/>
  <c r="AX150" i="20"/>
  <c r="AV150" i="20"/>
  <c r="BD150" i="20"/>
  <c r="BB150" i="20"/>
  <c r="AY150" i="20"/>
  <c r="AW150" i="20"/>
  <c r="AT150" i="20"/>
  <c r="AR150" i="20"/>
  <c r="AO150" i="20"/>
  <c r="AM150" i="20"/>
  <c r="AS150" i="20"/>
  <c r="AQ150" i="20"/>
  <c r="AN150" i="20"/>
  <c r="AL150" i="20"/>
  <c r="AJ150" i="20"/>
  <c r="AB150" i="20"/>
  <c r="AE150" i="20"/>
  <c r="AD150" i="20"/>
  <c r="AH150" i="20"/>
  <c r="AG150" i="20"/>
  <c r="AI150" i="20"/>
  <c r="AC150" i="20"/>
  <c r="AA151" i="20"/>
  <c r="BC151" i="22" l="1"/>
  <c r="BA151" i="22"/>
  <c r="O151" i="22" s="1"/>
  <c r="O231" i="22" s="1"/>
  <c r="AX151" i="22"/>
  <c r="AV151" i="22"/>
  <c r="N151" i="22" s="1"/>
  <c r="N231" i="22" s="1"/>
  <c r="AS151" i="22"/>
  <c r="AQ151" i="22"/>
  <c r="M151" i="22" s="1"/>
  <c r="M231" i="22" s="1"/>
  <c r="AN151" i="22"/>
  <c r="AL151" i="22"/>
  <c r="L151" i="22" s="1"/>
  <c r="L231" i="22" s="1"/>
  <c r="AI151" i="22"/>
  <c r="AG151" i="22"/>
  <c r="K151" i="22" s="1"/>
  <c r="K231" i="22" s="1"/>
  <c r="AD151" i="22"/>
  <c r="AB151" i="22"/>
  <c r="J151" i="22" s="1"/>
  <c r="J231" i="22" s="1"/>
  <c r="BD151" i="22"/>
  <c r="BB151" i="22"/>
  <c r="AY151" i="22"/>
  <c r="AW151" i="22"/>
  <c r="AT151" i="22"/>
  <c r="AR151" i="22"/>
  <c r="AO151" i="22"/>
  <c r="AM151" i="22"/>
  <c r="AJ151" i="22"/>
  <c r="AH151" i="22"/>
  <c r="AE151" i="22"/>
  <c r="AC151" i="22"/>
  <c r="BC151" i="20"/>
  <c r="BA151" i="20"/>
  <c r="AX151" i="20"/>
  <c r="AV151" i="20"/>
  <c r="N151" i="20" s="1"/>
  <c r="BD151" i="20"/>
  <c r="BB151" i="20"/>
  <c r="AY151" i="20"/>
  <c r="AW151" i="20"/>
  <c r="AT151" i="20"/>
  <c r="AR151" i="20"/>
  <c r="AO151" i="20"/>
  <c r="AM151" i="20"/>
  <c r="AS151" i="20"/>
  <c r="AQ151" i="20"/>
  <c r="M151" i="20" s="1"/>
  <c r="AN151" i="20"/>
  <c r="AL151" i="20"/>
  <c r="L151" i="20" s="1"/>
  <c r="O151" i="20"/>
  <c r="AD151" i="20"/>
  <c r="AB151" i="20"/>
  <c r="J151" i="20" s="1"/>
  <c r="J231" i="20" s="1"/>
  <c r="AJ151" i="20"/>
  <c r="AI151" i="20"/>
  <c r="AH151" i="20"/>
  <c r="AG151" i="20"/>
  <c r="K151" i="20" s="1"/>
  <c r="AA152" i="20"/>
  <c r="AE151" i="20"/>
  <c r="AC151" i="20"/>
  <c r="BC152" i="22" l="1"/>
  <c r="BA152" i="22"/>
  <c r="AX152" i="22"/>
  <c r="AV152" i="22"/>
  <c r="AS152" i="22"/>
  <c r="AQ152" i="22"/>
  <c r="AN152" i="22"/>
  <c r="AL152" i="22"/>
  <c r="AI152" i="22"/>
  <c r="AG152" i="22"/>
  <c r="AD152" i="22"/>
  <c r="AB152" i="22"/>
  <c r="BD152" i="22"/>
  <c r="BB152" i="22"/>
  <c r="AY152" i="22"/>
  <c r="AW152" i="22"/>
  <c r="AT152" i="22"/>
  <c r="AR152" i="22"/>
  <c r="AO152" i="22"/>
  <c r="AM152" i="22"/>
  <c r="AJ152" i="22"/>
  <c r="AH152" i="22"/>
  <c r="AE152" i="22"/>
  <c r="AC152" i="22"/>
  <c r="O231" i="20"/>
  <c r="BC152" i="20"/>
  <c r="BA152" i="20"/>
  <c r="AX152" i="20"/>
  <c r="AV152" i="20"/>
  <c r="N152" i="20" s="1"/>
  <c r="N232" i="20" s="1"/>
  <c r="BD152" i="20"/>
  <c r="BB152" i="20"/>
  <c r="AY152" i="20"/>
  <c r="AW152" i="20"/>
  <c r="AT152" i="20"/>
  <c r="AR152" i="20"/>
  <c r="AO152" i="20"/>
  <c r="AM152" i="20"/>
  <c r="AS152" i="20"/>
  <c r="AQ152" i="20"/>
  <c r="M152" i="20" s="1"/>
  <c r="M232" i="20" s="1"/>
  <c r="AN152" i="20"/>
  <c r="AL152" i="20"/>
  <c r="L152" i="20" s="1"/>
  <c r="L232" i="20" s="1"/>
  <c r="AE152" i="20"/>
  <c r="AC152" i="20"/>
  <c r="AJ152" i="20"/>
  <c r="AD152" i="20"/>
  <c r="AH152" i="20"/>
  <c r="AG152" i="20"/>
  <c r="AA153" i="20"/>
  <c r="AI152" i="20"/>
  <c r="AB152" i="20"/>
  <c r="K231" i="20"/>
  <c r="M231" i="20"/>
  <c r="L231" i="20"/>
  <c r="N231" i="20"/>
  <c r="K152" i="20" l="1"/>
  <c r="J152" i="20"/>
  <c r="J232" i="20" s="1"/>
  <c r="O152" i="20"/>
  <c r="O232" i="20" s="1"/>
  <c r="J152" i="22"/>
  <c r="K152" i="22"/>
  <c r="L152" i="22"/>
  <c r="L232" i="22" s="1"/>
  <c r="M152" i="22"/>
  <c r="N152" i="22"/>
  <c r="O152" i="22"/>
  <c r="BC153" i="22"/>
  <c r="BA153" i="22"/>
  <c r="AX153" i="22"/>
  <c r="AV153" i="22"/>
  <c r="AS153" i="22"/>
  <c r="AQ153" i="22"/>
  <c r="AN153" i="22"/>
  <c r="AL153" i="22"/>
  <c r="AI153" i="22"/>
  <c r="AG153" i="22"/>
  <c r="AD153" i="22"/>
  <c r="AB153" i="22"/>
  <c r="BD153" i="22"/>
  <c r="BB153" i="22"/>
  <c r="AY153" i="22"/>
  <c r="AW153" i="22"/>
  <c r="AT153" i="22"/>
  <c r="AR153" i="22"/>
  <c r="AO153" i="22"/>
  <c r="AM153" i="22"/>
  <c r="AJ153" i="22"/>
  <c r="AH153" i="22"/>
  <c r="AE153" i="22"/>
  <c r="AC153" i="22"/>
  <c r="J232" i="22"/>
  <c r="K232" i="22"/>
  <c r="M232" i="22"/>
  <c r="N232" i="22"/>
  <c r="O232" i="22"/>
  <c r="BD153" i="20"/>
  <c r="BA153" i="20"/>
  <c r="AX153" i="20"/>
  <c r="AT153" i="20"/>
  <c r="AQ153" i="20"/>
  <c r="AN153" i="20"/>
  <c r="AJ153" i="20"/>
  <c r="AG153" i="20"/>
  <c r="AD153" i="20"/>
  <c r="BC153" i="20"/>
  <c r="AY153" i="20"/>
  <c r="AV153" i="20"/>
  <c r="AS153" i="20"/>
  <c r="AO153" i="20"/>
  <c r="AL153" i="20"/>
  <c r="AI153" i="20"/>
  <c r="AE153" i="20"/>
  <c r="AB153" i="20"/>
  <c r="AM153" i="20"/>
  <c r="L153" i="20" s="1"/>
  <c r="BB153" i="20"/>
  <c r="AR153" i="20"/>
  <c r="AW153" i="20"/>
  <c r="AC153" i="20"/>
  <c r="AH153" i="20"/>
  <c r="M153" i="20"/>
  <c r="AA154" i="20"/>
  <c r="K232" i="20"/>
  <c r="J153" i="20" l="1"/>
  <c r="J233" i="20" s="1"/>
  <c r="N153" i="20"/>
  <c r="N233" i="20" s="1"/>
  <c r="O153" i="20"/>
  <c r="O233" i="20" s="1"/>
  <c r="K153" i="20"/>
  <c r="K233" i="20" s="1"/>
  <c r="K153" i="22"/>
  <c r="K233" i="22" s="1"/>
  <c r="L153" i="22"/>
  <c r="L233" i="22" s="1"/>
  <c r="M153" i="22"/>
  <c r="M233" i="22" s="1"/>
  <c r="O153" i="22"/>
  <c r="O233" i="22" s="1"/>
  <c r="J153" i="22"/>
  <c r="J233" i="22" s="1"/>
  <c r="N153" i="22"/>
  <c r="N233" i="22" s="1"/>
  <c r="BC154" i="22"/>
  <c r="BA154" i="22"/>
  <c r="AX154" i="22"/>
  <c r="AV154" i="22"/>
  <c r="AS154" i="22"/>
  <c r="AQ154" i="22"/>
  <c r="AN154" i="22"/>
  <c r="AL154" i="22"/>
  <c r="AI154" i="22"/>
  <c r="AG154" i="22"/>
  <c r="AD154" i="22"/>
  <c r="AB154" i="22"/>
  <c r="BD154" i="22"/>
  <c r="BB154" i="22"/>
  <c r="AY154" i="22"/>
  <c r="AW154" i="22"/>
  <c r="AT154" i="22"/>
  <c r="AR154" i="22"/>
  <c r="AO154" i="22"/>
  <c r="AM154" i="22"/>
  <c r="AJ154" i="22"/>
  <c r="AH154" i="22"/>
  <c r="AE154" i="22"/>
  <c r="AC154" i="22"/>
  <c r="L233" i="20"/>
  <c r="M233" i="20"/>
  <c r="BC154" i="20"/>
  <c r="BA154" i="20"/>
  <c r="AX154" i="20"/>
  <c r="AV154" i="20"/>
  <c r="BD154" i="20"/>
  <c r="BB154" i="20"/>
  <c r="AY154" i="20"/>
  <c r="AW154" i="20"/>
  <c r="AT154" i="20"/>
  <c r="AR154" i="20"/>
  <c r="AO154" i="20"/>
  <c r="AM154" i="20"/>
  <c r="AS154" i="20"/>
  <c r="AQ154" i="20"/>
  <c r="M154" i="20" s="1"/>
  <c r="M234" i="20" s="1"/>
  <c r="AN154" i="20"/>
  <c r="AL154" i="20"/>
  <c r="L154" i="20" s="1"/>
  <c r="AI154" i="20"/>
  <c r="AG154" i="20"/>
  <c r="AJ154" i="20"/>
  <c r="AD154" i="20"/>
  <c r="AC154" i="20"/>
  <c r="AB154" i="20"/>
  <c r="J154" i="20" s="1"/>
  <c r="AA155" i="20"/>
  <c r="AE154" i="20"/>
  <c r="AH154" i="20"/>
  <c r="K154" i="20" l="1"/>
  <c r="N154" i="20"/>
  <c r="N234" i="20" s="1"/>
  <c r="O154" i="20"/>
  <c r="O234" i="20" s="1"/>
  <c r="J154" i="22"/>
  <c r="J234" i="22" s="1"/>
  <c r="K154" i="22"/>
  <c r="L154" i="22"/>
  <c r="L234" i="22" s="1"/>
  <c r="M154" i="22"/>
  <c r="N154" i="22"/>
  <c r="N234" i="22" s="1"/>
  <c r="O154" i="22"/>
  <c r="N34" i="20"/>
  <c r="BC155" i="22"/>
  <c r="BA155" i="22"/>
  <c r="AX155" i="22"/>
  <c r="AV155" i="22"/>
  <c r="AS155" i="22"/>
  <c r="AQ155" i="22"/>
  <c r="AN155" i="22"/>
  <c r="AL155" i="22"/>
  <c r="AI155" i="22"/>
  <c r="AG155" i="22"/>
  <c r="AD155" i="22"/>
  <c r="AB155" i="22"/>
  <c r="BD155" i="22"/>
  <c r="BB155" i="22"/>
  <c r="AY155" i="22"/>
  <c r="AW155" i="22"/>
  <c r="AT155" i="22"/>
  <c r="AR155" i="22"/>
  <c r="AO155" i="22"/>
  <c r="AM155" i="22"/>
  <c r="AJ155" i="22"/>
  <c r="AH155" i="22"/>
  <c r="AE155" i="22"/>
  <c r="AC155" i="22"/>
  <c r="J34" i="22"/>
  <c r="K234" i="22"/>
  <c r="K34" i="22"/>
  <c r="L34" i="22"/>
  <c r="M234" i="22"/>
  <c r="M34" i="22"/>
  <c r="O234" i="22"/>
  <c r="O34" i="22"/>
  <c r="J234" i="20"/>
  <c r="J34" i="20"/>
  <c r="K34" i="20"/>
  <c r="K234" i="20"/>
  <c r="L234" i="20"/>
  <c r="L34" i="20"/>
  <c r="BC155" i="20"/>
  <c r="BA155" i="20"/>
  <c r="AX155" i="20"/>
  <c r="AV155" i="20"/>
  <c r="BD155" i="20"/>
  <c r="BB155" i="20"/>
  <c r="AY155" i="20"/>
  <c r="AW155" i="20"/>
  <c r="AT155" i="20"/>
  <c r="AR155" i="20"/>
  <c r="AO155" i="20"/>
  <c r="AM155" i="20"/>
  <c r="AS155" i="20"/>
  <c r="AQ155" i="20"/>
  <c r="AN155" i="20"/>
  <c r="AL155" i="20"/>
  <c r="AJ155" i="20"/>
  <c r="AC155" i="20"/>
  <c r="AE155" i="20"/>
  <c r="AD155" i="20"/>
  <c r="AH155" i="20"/>
  <c r="AG155" i="20"/>
  <c r="AA156" i="20"/>
  <c r="AI155" i="20"/>
  <c r="AB155" i="20"/>
  <c r="O34" i="20"/>
  <c r="M34" i="20"/>
  <c r="N34" i="22" l="1"/>
  <c r="M156" i="20"/>
  <c r="N156" i="20"/>
  <c r="O156" i="20"/>
  <c r="L156" i="20"/>
  <c r="J156" i="20"/>
  <c r="K156" i="20"/>
  <c r="K236" i="20" s="1"/>
  <c r="AA157" i="20"/>
  <c r="L236" i="20" l="1"/>
  <c r="N236" i="20"/>
  <c r="N157" i="20"/>
  <c r="N237" i="20" s="1"/>
  <c r="O157" i="20"/>
  <c r="O237" i="20" s="1"/>
  <c r="L157" i="20"/>
  <c r="L237" i="20" s="1"/>
  <c r="M157" i="20"/>
  <c r="M237" i="20" s="1"/>
  <c r="K157" i="20"/>
  <c r="K237" i="20" s="1"/>
  <c r="J157" i="20"/>
  <c r="J237" i="20" s="1"/>
  <c r="AA158" i="20"/>
  <c r="J236" i="20"/>
  <c r="O236" i="20"/>
  <c r="M236" i="20"/>
  <c r="N158" i="20" l="1"/>
  <c r="L158" i="20"/>
  <c r="O158" i="20"/>
  <c r="O238" i="20" s="1"/>
  <c r="K158" i="20"/>
  <c r="K238" i="20" s="1"/>
  <c r="M158" i="20"/>
  <c r="M238" i="20" s="1"/>
  <c r="J158" i="20"/>
  <c r="J238" i="20" s="1"/>
  <c r="AA159" i="20"/>
  <c r="L238" i="20" l="1"/>
  <c r="O159" i="20"/>
  <c r="M159" i="20"/>
  <c r="L159" i="20"/>
  <c r="L239" i="20" s="1"/>
  <c r="N159" i="20"/>
  <c r="N239" i="20" s="1"/>
  <c r="K159" i="20"/>
  <c r="J159" i="20"/>
  <c r="J35" i="20" s="1"/>
  <c r="AA160" i="20"/>
  <c r="N238" i="20"/>
  <c r="BC160" i="22" l="1"/>
  <c r="BA160" i="22"/>
  <c r="AX160" i="22"/>
  <c r="AV160" i="22"/>
  <c r="AS160" i="22"/>
  <c r="AQ160" i="22"/>
  <c r="AN160" i="22"/>
  <c r="AL160" i="22"/>
  <c r="AI160" i="22"/>
  <c r="AG160" i="22"/>
  <c r="AD160" i="22"/>
  <c r="AB160" i="22"/>
  <c r="BD160" i="22"/>
  <c r="BB160" i="22"/>
  <c r="AY160" i="22"/>
  <c r="AW160" i="22"/>
  <c r="AT160" i="22"/>
  <c r="AR160" i="22"/>
  <c r="AO160" i="22"/>
  <c r="AM160" i="22"/>
  <c r="AJ160" i="22"/>
  <c r="AH160" i="22"/>
  <c r="AE160" i="22"/>
  <c r="AC160" i="22"/>
  <c r="L35" i="20"/>
  <c r="J239" i="20"/>
  <c r="M239" i="20"/>
  <c r="M35" i="20"/>
  <c r="BC160" i="20"/>
  <c r="BA160" i="20"/>
  <c r="AX160" i="20"/>
  <c r="AV160" i="20"/>
  <c r="AS160" i="20"/>
  <c r="AQ160" i="20"/>
  <c r="BD160" i="20"/>
  <c r="BB160" i="20"/>
  <c r="AY160" i="20"/>
  <c r="AW160" i="20"/>
  <c r="AT160" i="20"/>
  <c r="AO160" i="20"/>
  <c r="AM160" i="20"/>
  <c r="AR160" i="20"/>
  <c r="AN160" i="20"/>
  <c r="AL160" i="20"/>
  <c r="AJ160" i="20"/>
  <c r="AI160" i="20"/>
  <c r="AH160" i="20"/>
  <c r="AG160" i="20"/>
  <c r="AA161" i="20"/>
  <c r="AE160" i="20"/>
  <c r="AD160" i="20"/>
  <c r="AC160" i="20"/>
  <c r="AB160" i="20"/>
  <c r="K239" i="20"/>
  <c r="K35" i="20"/>
  <c r="O239" i="20"/>
  <c r="O35" i="20"/>
  <c r="N35" i="20"/>
  <c r="BC161" i="22" l="1"/>
  <c r="BA161" i="22"/>
  <c r="AX161" i="22"/>
  <c r="AV161" i="22"/>
  <c r="AS161" i="22"/>
  <c r="AQ161" i="22"/>
  <c r="AN161" i="22"/>
  <c r="AL161" i="22"/>
  <c r="AI161" i="22"/>
  <c r="AG161" i="22"/>
  <c r="AD161" i="22"/>
  <c r="AB161" i="22"/>
  <c r="BD161" i="22"/>
  <c r="BB161" i="22"/>
  <c r="AY161" i="22"/>
  <c r="AW161" i="22"/>
  <c r="AT161" i="22"/>
  <c r="AR161" i="22"/>
  <c r="AO161" i="22"/>
  <c r="AM161" i="22"/>
  <c r="AJ161" i="22"/>
  <c r="AH161" i="22"/>
  <c r="AE161" i="22"/>
  <c r="AC161" i="22"/>
  <c r="BC161" i="20"/>
  <c r="BA161" i="20"/>
  <c r="AX161" i="20"/>
  <c r="AV161" i="20"/>
  <c r="AS161" i="20"/>
  <c r="AQ161" i="20"/>
  <c r="BD161" i="20"/>
  <c r="BB161" i="20"/>
  <c r="AY161" i="20"/>
  <c r="AW161" i="20"/>
  <c r="AT161" i="20"/>
  <c r="AO161" i="20"/>
  <c r="AM161" i="20"/>
  <c r="AR161" i="20"/>
  <c r="AN161" i="20"/>
  <c r="AL161" i="20"/>
  <c r="L161" i="20" s="1"/>
  <c r="AE161" i="20"/>
  <c r="AI161" i="20"/>
  <c r="AC161" i="20"/>
  <c r="AB161" i="20"/>
  <c r="J161" i="20" s="1"/>
  <c r="AA162" i="20"/>
  <c r="AJ161" i="20"/>
  <c r="AD161" i="20"/>
  <c r="AH161" i="20"/>
  <c r="AG161" i="20"/>
  <c r="BB162" i="22" l="1"/>
  <c r="AN162" i="22"/>
  <c r="BC162" i="22"/>
  <c r="AQ162" i="22"/>
  <c r="AX162" i="22"/>
  <c r="AL162" i="22"/>
  <c r="BA162" i="22"/>
  <c r="AM162" i="22"/>
  <c r="L162" i="22" s="1"/>
  <c r="L242" i="22" s="1"/>
  <c r="AB162" i="22"/>
  <c r="AV162" i="22"/>
  <c r="AH162" i="22"/>
  <c r="K162" i="22" s="1"/>
  <c r="K242" i="22" s="1"/>
  <c r="AW162" i="22"/>
  <c r="AI162" i="22"/>
  <c r="AC162" i="22"/>
  <c r="J162" i="22" s="1"/>
  <c r="J242" i="22" s="1"/>
  <c r="AR162" i="22"/>
  <c r="M162" i="22" s="1"/>
  <c r="M242" i="22" s="1"/>
  <c r="AD162" i="22"/>
  <c r="AS162" i="22"/>
  <c r="AG162" i="22"/>
  <c r="AB162" i="20"/>
  <c r="AS162" i="20"/>
  <c r="AG162" i="20"/>
  <c r="AR162" i="20"/>
  <c r="AD162" i="20"/>
  <c r="BC162" i="20"/>
  <c r="AQ162" i="20"/>
  <c r="BB162" i="20"/>
  <c r="AN162" i="20"/>
  <c r="AC162" i="20"/>
  <c r="BA162" i="20"/>
  <c r="AM162" i="20"/>
  <c r="AX162" i="20"/>
  <c r="AL162" i="20"/>
  <c r="AW162" i="20"/>
  <c r="AI162" i="20"/>
  <c r="AV162" i="20"/>
  <c r="AH162" i="20"/>
  <c r="M161" i="20"/>
  <c r="M241" i="20" s="1"/>
  <c r="N161" i="20"/>
  <c r="O161" i="20"/>
  <c r="J161" i="22"/>
  <c r="K161" i="22"/>
  <c r="L161" i="22"/>
  <c r="M161" i="22"/>
  <c r="N161" i="22"/>
  <c r="O161" i="22"/>
  <c r="BD162" i="22"/>
  <c r="AY162" i="22"/>
  <c r="AT162" i="22"/>
  <c r="AO162" i="22"/>
  <c r="AJ162" i="22"/>
  <c r="AE162" i="22"/>
  <c r="J241" i="22"/>
  <c r="K241" i="22"/>
  <c r="L241" i="22"/>
  <c r="M241" i="22"/>
  <c r="N241" i="22"/>
  <c r="O241" i="22"/>
  <c r="J241" i="20"/>
  <c r="L241" i="20"/>
  <c r="O241" i="20"/>
  <c r="N241" i="20"/>
  <c r="BD162" i="20"/>
  <c r="AY162" i="20"/>
  <c r="AT162" i="20"/>
  <c r="AO162" i="20"/>
  <c r="J162" i="20"/>
  <c r="J242" i="20" s="1"/>
  <c r="L162" i="20"/>
  <c r="L242" i="20" s="1"/>
  <c r="O162" i="20"/>
  <c r="O242" i="20" s="1"/>
  <c r="K162" i="20"/>
  <c r="K242" i="20" s="1"/>
  <c r="N162" i="20"/>
  <c r="N242" i="20" s="1"/>
  <c r="M162" i="20"/>
  <c r="M242" i="20" s="1"/>
  <c r="AE162" i="20"/>
  <c r="AJ162" i="20"/>
  <c r="AA163" i="20"/>
  <c r="K161" i="20"/>
  <c r="K241" i="20" s="1"/>
  <c r="BC163" i="22" l="1"/>
  <c r="BA163" i="22"/>
  <c r="AX163" i="22"/>
  <c r="AV163" i="22"/>
  <c r="AS163" i="22"/>
  <c r="AQ163" i="22"/>
  <c r="AN163" i="22"/>
  <c r="AL163" i="22"/>
  <c r="AI163" i="22"/>
  <c r="AG163" i="22"/>
  <c r="AD163" i="22"/>
  <c r="AB163" i="22"/>
  <c r="BD163" i="22"/>
  <c r="BB163" i="22"/>
  <c r="AY163" i="22"/>
  <c r="AW163" i="22"/>
  <c r="AT163" i="22"/>
  <c r="AR163" i="22"/>
  <c r="AO163" i="22"/>
  <c r="AM163" i="22"/>
  <c r="AJ163" i="22"/>
  <c r="AH163" i="22"/>
  <c r="AE163" i="22"/>
  <c r="AC163" i="22"/>
  <c r="BC163" i="20"/>
  <c r="BA163" i="20"/>
  <c r="AX163" i="20"/>
  <c r="AV163" i="20"/>
  <c r="AS163" i="20"/>
  <c r="AQ163" i="20"/>
  <c r="BD163" i="20"/>
  <c r="BB163" i="20"/>
  <c r="AY163" i="20"/>
  <c r="AW163" i="20"/>
  <c r="AT163" i="20"/>
  <c r="AO163" i="20"/>
  <c r="AM163" i="20"/>
  <c r="AR163" i="20"/>
  <c r="AN163" i="20"/>
  <c r="AL163" i="20"/>
  <c r="AE163" i="20"/>
  <c r="AD163" i="20"/>
  <c r="AH163" i="20"/>
  <c r="AG163" i="20"/>
  <c r="AJ163" i="20"/>
  <c r="AI163" i="20"/>
  <c r="AC163" i="20"/>
  <c r="AB163" i="20"/>
  <c r="AA164" i="20"/>
  <c r="K163" i="20" l="1"/>
  <c r="K243" i="20" s="1"/>
  <c r="L163" i="20"/>
  <c r="L243" i="20" s="1"/>
  <c r="M163" i="20"/>
  <c r="N163" i="20"/>
  <c r="O163" i="20"/>
  <c r="J163" i="22"/>
  <c r="K163" i="22"/>
  <c r="L163" i="22"/>
  <c r="M163" i="22"/>
  <c r="N163" i="22"/>
  <c r="O163" i="22"/>
  <c r="BC164" i="22"/>
  <c r="BA164" i="22"/>
  <c r="AX164" i="22"/>
  <c r="AV164" i="22"/>
  <c r="AS164" i="22"/>
  <c r="AQ164" i="22"/>
  <c r="AN164" i="22"/>
  <c r="AL164" i="22"/>
  <c r="AI164" i="22"/>
  <c r="AG164" i="22"/>
  <c r="AD164" i="22"/>
  <c r="AB164" i="22"/>
  <c r="BD164" i="22"/>
  <c r="BB164" i="22"/>
  <c r="AY164" i="22"/>
  <c r="AW164" i="22"/>
  <c r="AT164" i="22"/>
  <c r="AR164" i="22"/>
  <c r="AO164" i="22"/>
  <c r="AM164" i="22"/>
  <c r="AJ164" i="22"/>
  <c r="AH164" i="22"/>
  <c r="AE164" i="22"/>
  <c r="AC164" i="22"/>
  <c r="J243" i="22"/>
  <c r="K243" i="22"/>
  <c r="L243" i="22"/>
  <c r="M243" i="22"/>
  <c r="N243" i="22"/>
  <c r="O243" i="22"/>
  <c r="M243" i="20"/>
  <c r="O243" i="20"/>
  <c r="N243" i="20"/>
  <c r="BC164" i="20"/>
  <c r="BA164" i="20"/>
  <c r="AX164" i="20"/>
  <c r="AV164" i="20"/>
  <c r="AS164" i="20"/>
  <c r="AQ164" i="20"/>
  <c r="BD164" i="20"/>
  <c r="BB164" i="20"/>
  <c r="AY164" i="20"/>
  <c r="AW164" i="20"/>
  <c r="AT164" i="20"/>
  <c r="AO164" i="20"/>
  <c r="AM164" i="20"/>
  <c r="AR164" i="20"/>
  <c r="AN164" i="20"/>
  <c r="AL164" i="20"/>
  <c r="AE164" i="20"/>
  <c r="AD164" i="20"/>
  <c r="AC164" i="20"/>
  <c r="AB164" i="20"/>
  <c r="AA165" i="20"/>
  <c r="AD165" i="20" s="1"/>
  <c r="AJ164" i="20"/>
  <c r="AI164" i="20"/>
  <c r="AH164" i="20"/>
  <c r="AG164" i="20"/>
  <c r="J163" i="20"/>
  <c r="J243" i="20" s="1"/>
  <c r="K164" i="20" l="1"/>
  <c r="K244" i="20" s="1"/>
  <c r="J164" i="22"/>
  <c r="J244" i="22" s="1"/>
  <c r="K164" i="22"/>
  <c r="K244" i="22" s="1"/>
  <c r="L164" i="22"/>
  <c r="L244" i="22" s="1"/>
  <c r="M164" i="22"/>
  <c r="M244" i="22" s="1"/>
  <c r="N164" i="22"/>
  <c r="N244" i="22" s="1"/>
  <c r="O164" i="22"/>
  <c r="O244" i="22" s="1"/>
  <c r="J164" i="20"/>
  <c r="J244" i="20" s="1"/>
  <c r="L164" i="20"/>
  <c r="L244" i="20" s="1"/>
  <c r="M164" i="20"/>
  <c r="M244" i="20" s="1"/>
  <c r="N164" i="20"/>
  <c r="N244" i="20" s="1"/>
  <c r="O164" i="20"/>
  <c r="O244" i="20" s="1"/>
  <c r="BC165" i="22"/>
  <c r="BA165" i="22"/>
  <c r="AX165" i="22"/>
  <c r="AV165" i="22"/>
  <c r="AS165" i="22"/>
  <c r="AQ165" i="22"/>
  <c r="AN165" i="22"/>
  <c r="AL165" i="22"/>
  <c r="AI165" i="22"/>
  <c r="AG165" i="22"/>
  <c r="AD165" i="22"/>
  <c r="AB165" i="22"/>
  <c r="BD165" i="22"/>
  <c r="BB165" i="22"/>
  <c r="AY165" i="22"/>
  <c r="AW165" i="22"/>
  <c r="AT165" i="22"/>
  <c r="AR165" i="22"/>
  <c r="AO165" i="22"/>
  <c r="AM165" i="22"/>
  <c r="AJ165" i="22"/>
  <c r="AH165" i="22"/>
  <c r="AE165" i="22"/>
  <c r="AC165" i="22"/>
  <c r="BC165" i="20"/>
  <c r="BA165" i="20"/>
  <c r="AX165" i="20"/>
  <c r="AV165" i="20"/>
  <c r="AS165" i="20"/>
  <c r="AQ165" i="20"/>
  <c r="BD165" i="20"/>
  <c r="BB165" i="20"/>
  <c r="AY165" i="20"/>
  <c r="AW165" i="20"/>
  <c r="AT165" i="20"/>
  <c r="AR165" i="20"/>
  <c r="AO165" i="20"/>
  <c r="AM165" i="20"/>
  <c r="AN165" i="20"/>
  <c r="AL165" i="20"/>
  <c r="AJ165" i="20"/>
  <c r="AH165" i="20"/>
  <c r="AG165" i="20"/>
  <c r="AE165" i="20"/>
  <c r="AI165" i="20"/>
  <c r="AC165" i="20"/>
  <c r="AB165" i="20"/>
  <c r="J165" i="20" s="1"/>
  <c r="AA166" i="20"/>
  <c r="L165" i="20" l="1"/>
  <c r="L245" i="20" s="1"/>
  <c r="M165" i="20"/>
  <c r="N165" i="20"/>
  <c r="N245" i="20" s="1"/>
  <c r="O165" i="20"/>
  <c r="O245" i="20" s="1"/>
  <c r="J165" i="22"/>
  <c r="K165" i="22"/>
  <c r="L165" i="22"/>
  <c r="M165" i="22"/>
  <c r="N165" i="22"/>
  <c r="O165" i="22"/>
  <c r="BC166" i="22"/>
  <c r="BA166" i="22"/>
  <c r="AX166" i="22"/>
  <c r="BD166" i="22"/>
  <c r="BB166" i="22"/>
  <c r="O166" i="22" s="1"/>
  <c r="O246" i="22" s="1"/>
  <c r="AY166" i="22"/>
  <c r="AV166" i="22"/>
  <c r="AS166" i="22"/>
  <c r="AQ166" i="22"/>
  <c r="AN166" i="22"/>
  <c r="AL166" i="22"/>
  <c r="AI166" i="22"/>
  <c r="AG166" i="22"/>
  <c r="AD166" i="22"/>
  <c r="AB166" i="22"/>
  <c r="AW166" i="22"/>
  <c r="N166" i="22" s="1"/>
  <c r="N246" i="22" s="1"/>
  <c r="AT166" i="22"/>
  <c r="AR166" i="22"/>
  <c r="M166" i="22" s="1"/>
  <c r="M246" i="22" s="1"/>
  <c r="AO166" i="22"/>
  <c r="AM166" i="22"/>
  <c r="L166" i="22" s="1"/>
  <c r="L246" i="22" s="1"/>
  <c r="AJ166" i="22"/>
  <c r="AH166" i="22"/>
  <c r="K166" i="22" s="1"/>
  <c r="K246" i="22" s="1"/>
  <c r="AE166" i="22"/>
  <c r="AC166" i="22"/>
  <c r="J166" i="22" s="1"/>
  <c r="J246" i="22" s="1"/>
  <c r="J245" i="22"/>
  <c r="K245" i="22"/>
  <c r="L245" i="22"/>
  <c r="M245" i="22"/>
  <c r="N245" i="22"/>
  <c r="O245" i="22"/>
  <c r="M245" i="20"/>
  <c r="J245" i="20"/>
  <c r="BC166" i="20"/>
  <c r="BA166" i="20"/>
  <c r="AX166" i="20"/>
  <c r="AV166" i="20"/>
  <c r="AS166" i="20"/>
  <c r="AQ166" i="20"/>
  <c r="BD166" i="20"/>
  <c r="BB166" i="20"/>
  <c r="O166" i="20" s="1"/>
  <c r="O246" i="20" s="1"/>
  <c r="AY166" i="20"/>
  <c r="AW166" i="20"/>
  <c r="N166" i="20" s="1"/>
  <c r="N246" i="20" s="1"/>
  <c r="AT166" i="20"/>
  <c r="AR166" i="20"/>
  <c r="M166" i="20" s="1"/>
  <c r="M246" i="20" s="1"/>
  <c r="AO166" i="20"/>
  <c r="AM166" i="20"/>
  <c r="L166" i="20" s="1"/>
  <c r="L246" i="20" s="1"/>
  <c r="AN166" i="20"/>
  <c r="AL166" i="20"/>
  <c r="AJ166" i="20"/>
  <c r="AD166" i="20"/>
  <c r="AC166" i="20"/>
  <c r="J166" i="20" s="1"/>
  <c r="J246" i="20" s="1"/>
  <c r="AB166" i="20"/>
  <c r="AE166" i="20"/>
  <c r="AI166" i="20"/>
  <c r="AH166" i="20"/>
  <c r="K166" i="20" s="1"/>
  <c r="K246" i="20" s="1"/>
  <c r="AG166" i="20"/>
  <c r="AA167" i="20"/>
  <c r="K165" i="20"/>
  <c r="O36" i="22" l="1"/>
  <c r="M36" i="22"/>
  <c r="K36" i="22"/>
  <c r="N36" i="22"/>
  <c r="L36" i="22"/>
  <c r="J36" i="22"/>
  <c r="N36" i="20"/>
  <c r="BC167" i="22"/>
  <c r="BA167" i="22"/>
  <c r="AX167" i="22"/>
  <c r="AV167" i="22"/>
  <c r="AS167" i="22"/>
  <c r="AQ167" i="22"/>
  <c r="AN167" i="22"/>
  <c r="AL167" i="22"/>
  <c r="AI167" i="22"/>
  <c r="AG167" i="22"/>
  <c r="AD167" i="22"/>
  <c r="AB167" i="22"/>
  <c r="BD167" i="22"/>
  <c r="BB167" i="22"/>
  <c r="AY167" i="22"/>
  <c r="AW167" i="22"/>
  <c r="AT167" i="22"/>
  <c r="AR167" i="22"/>
  <c r="AO167" i="22"/>
  <c r="AM167" i="22"/>
  <c r="AJ167" i="22"/>
  <c r="AH167" i="22"/>
  <c r="AE167" i="22"/>
  <c r="AC167" i="22"/>
  <c r="K36" i="20"/>
  <c r="O36" i="20"/>
  <c r="M36" i="20"/>
  <c r="BC167" i="20"/>
  <c r="BA167" i="20"/>
  <c r="AX167" i="20"/>
  <c r="AV167" i="20"/>
  <c r="AS167" i="20"/>
  <c r="AQ167" i="20"/>
  <c r="BD167" i="20"/>
  <c r="BB167" i="20"/>
  <c r="AY167" i="20"/>
  <c r="AW167" i="20"/>
  <c r="AT167" i="20"/>
  <c r="AR167" i="20"/>
  <c r="AO167" i="20"/>
  <c r="AM167" i="20"/>
  <c r="AN167" i="20"/>
  <c r="AL167" i="20"/>
  <c r="AJ167" i="20"/>
  <c r="AI167" i="20"/>
  <c r="AC167" i="20"/>
  <c r="AB167" i="20"/>
  <c r="AA168" i="20"/>
  <c r="AE167" i="20"/>
  <c r="AD167" i="20"/>
  <c r="AH167" i="20"/>
  <c r="AG167" i="20"/>
  <c r="K245" i="20"/>
  <c r="J36" i="20"/>
  <c r="L36" i="20"/>
  <c r="AY168" i="22" l="1"/>
  <c r="AX168" i="22" s="1"/>
  <c r="AV168" i="22"/>
  <c r="AO168" i="22"/>
  <c r="AN168" i="22" s="1"/>
  <c r="AL168" i="22"/>
  <c r="AE168" i="22"/>
  <c r="AD168" i="22" s="1"/>
  <c r="AB168" i="22"/>
  <c r="BD168" i="22"/>
  <c r="BC168" i="22" s="1"/>
  <c r="BA168" i="22"/>
  <c r="AW168" i="22"/>
  <c r="N168" i="22" s="1"/>
  <c r="AT168" i="22"/>
  <c r="AS168" i="22" s="1"/>
  <c r="AQ168" i="22"/>
  <c r="AJ168" i="22"/>
  <c r="AI168" i="22" s="1"/>
  <c r="AG168" i="22"/>
  <c r="AC168" i="22"/>
  <c r="J168" i="22" s="1"/>
  <c r="BA168" i="20"/>
  <c r="AV168" i="20"/>
  <c r="AQ168" i="20"/>
  <c r="BD168" i="20"/>
  <c r="BC168" i="20" s="1"/>
  <c r="AY168" i="20"/>
  <c r="AW168" i="20" s="1"/>
  <c r="N168" i="20" s="1"/>
  <c r="AT168" i="20"/>
  <c r="AS168" i="20" s="1"/>
  <c r="AO168" i="20"/>
  <c r="AM168" i="20" s="1"/>
  <c r="L168" i="20" s="1"/>
  <c r="AL168" i="20"/>
  <c r="AJ168" i="20"/>
  <c r="AI168" i="20" s="1"/>
  <c r="AG168" i="20"/>
  <c r="AA169" i="20"/>
  <c r="AE168" i="20"/>
  <c r="AD168" i="20" s="1"/>
  <c r="AB168" i="20"/>
  <c r="AM168" i="22" l="1"/>
  <c r="L168" i="22" s="1"/>
  <c r="L248" i="22" s="1"/>
  <c r="J248" i="22"/>
  <c r="J37" i="22"/>
  <c r="N248" i="22"/>
  <c r="N37" i="22"/>
  <c r="BC169" i="22"/>
  <c r="BA169" i="22"/>
  <c r="AX169" i="22"/>
  <c r="AV169" i="22"/>
  <c r="AS169" i="22"/>
  <c r="AQ169" i="22"/>
  <c r="AN169" i="22"/>
  <c r="AL169" i="22"/>
  <c r="AI169" i="22"/>
  <c r="AG169" i="22"/>
  <c r="AD169" i="22"/>
  <c r="AB169" i="22"/>
  <c r="BD169" i="22"/>
  <c r="BB169" i="22"/>
  <c r="AY169" i="22"/>
  <c r="AW169" i="22"/>
  <c r="AT169" i="22"/>
  <c r="AR169" i="22"/>
  <c r="AO169" i="22"/>
  <c r="AM169" i="22"/>
  <c r="AJ169" i="22"/>
  <c r="AH169" i="22"/>
  <c r="AE169" i="22"/>
  <c r="AC169" i="22"/>
  <c r="AH168" i="22"/>
  <c r="K168" i="22" s="1"/>
  <c r="BB168" i="22"/>
  <c r="O168" i="22" s="1"/>
  <c r="AR168" i="22"/>
  <c r="M168" i="22" s="1"/>
  <c r="AX168" i="20"/>
  <c r="AH168" i="20"/>
  <c r="K168" i="20" s="1"/>
  <c r="K37" i="20" s="1"/>
  <c r="AN168" i="20"/>
  <c r="N248" i="20"/>
  <c r="N37" i="20"/>
  <c r="L248" i="20"/>
  <c r="L37" i="20"/>
  <c r="BC169" i="20"/>
  <c r="BA169" i="20"/>
  <c r="AX169" i="20"/>
  <c r="AV169" i="20"/>
  <c r="AS169" i="20"/>
  <c r="AQ169" i="20"/>
  <c r="BD169" i="20"/>
  <c r="BB169" i="20"/>
  <c r="AY169" i="20"/>
  <c r="AW169" i="20"/>
  <c r="AT169" i="20"/>
  <c r="AR169" i="20"/>
  <c r="AO169" i="20"/>
  <c r="AM169" i="20"/>
  <c r="AN169" i="20"/>
  <c r="AL169" i="20"/>
  <c r="AE169" i="20"/>
  <c r="AI169" i="20"/>
  <c r="AC169" i="20"/>
  <c r="AB169" i="20"/>
  <c r="AA170" i="20"/>
  <c r="AJ169" i="20"/>
  <c r="AD169" i="20"/>
  <c r="AH169" i="20"/>
  <c r="AG169" i="20"/>
  <c r="AR168" i="20"/>
  <c r="M168" i="20" s="1"/>
  <c r="M37" i="20" s="1"/>
  <c r="BB168" i="20"/>
  <c r="O168" i="20" s="1"/>
  <c r="O248" i="20" s="1"/>
  <c r="AC168" i="20"/>
  <c r="J168" i="20" s="1"/>
  <c r="J37" i="20" s="1"/>
  <c r="L37" i="22" l="1"/>
  <c r="K248" i="20"/>
  <c r="O37" i="20"/>
  <c r="M248" i="20"/>
  <c r="J248" i="20"/>
  <c r="M37" i="22"/>
  <c r="M248" i="22"/>
  <c r="K248" i="22"/>
  <c r="K37" i="22"/>
  <c r="O37" i="22"/>
  <c r="O248" i="22"/>
  <c r="BC170" i="22"/>
  <c r="BA170" i="22"/>
  <c r="AX170" i="22"/>
  <c r="AV170" i="22"/>
  <c r="AS170" i="22"/>
  <c r="AQ170" i="22"/>
  <c r="AN170" i="22"/>
  <c r="AL170" i="22"/>
  <c r="AI170" i="22"/>
  <c r="AG170" i="22"/>
  <c r="AD170" i="22"/>
  <c r="AB170" i="22"/>
  <c r="BD170" i="22"/>
  <c r="BB170" i="22"/>
  <c r="AY170" i="22"/>
  <c r="AW170" i="22"/>
  <c r="AT170" i="22"/>
  <c r="AR170" i="22"/>
  <c r="AO170" i="22"/>
  <c r="AM170" i="22"/>
  <c r="AJ170" i="22"/>
  <c r="AH170" i="22"/>
  <c r="AE170" i="22"/>
  <c r="AC170" i="22"/>
  <c r="BC170" i="20"/>
  <c r="BA170" i="20"/>
  <c r="AX170" i="20"/>
  <c r="AV170" i="20"/>
  <c r="AS170" i="20"/>
  <c r="AQ170" i="20"/>
  <c r="BD170" i="20"/>
  <c r="BB170" i="20"/>
  <c r="AY170" i="20"/>
  <c r="AW170" i="20"/>
  <c r="AT170" i="20"/>
  <c r="AR170" i="20"/>
  <c r="AO170" i="20"/>
  <c r="AM170" i="20"/>
  <c r="AN170" i="20"/>
  <c r="AL170" i="20"/>
  <c r="AJ170" i="20"/>
  <c r="AD170" i="20"/>
  <c r="AC170" i="20"/>
  <c r="AB170" i="20"/>
  <c r="AE170" i="20"/>
  <c r="AI170" i="20"/>
  <c r="AH170" i="20"/>
  <c r="AG170" i="20"/>
  <c r="AA171" i="20"/>
  <c r="BC171" i="22" l="1"/>
  <c r="BA171" i="22"/>
  <c r="AX171" i="22"/>
  <c r="AV171" i="22"/>
  <c r="AS171" i="22"/>
  <c r="AQ171" i="22"/>
  <c r="M171" i="22" s="1"/>
  <c r="AN171" i="22"/>
  <c r="AL171" i="22"/>
  <c r="L171" i="22" s="1"/>
  <c r="AI171" i="22"/>
  <c r="AG171" i="22"/>
  <c r="K171" i="22" s="1"/>
  <c r="AD171" i="22"/>
  <c r="AB171" i="22"/>
  <c r="J171" i="22" s="1"/>
  <c r="BD171" i="22"/>
  <c r="BB171" i="22"/>
  <c r="AY171" i="22"/>
  <c r="AW171" i="22"/>
  <c r="AT171" i="22"/>
  <c r="AR171" i="22"/>
  <c r="AO171" i="22"/>
  <c r="AM171" i="22"/>
  <c r="AJ171" i="22"/>
  <c r="AH171" i="22"/>
  <c r="AE171" i="22"/>
  <c r="AC171" i="22"/>
  <c r="BC171" i="20"/>
  <c r="BA171" i="20"/>
  <c r="O171" i="20" s="1"/>
  <c r="AX171" i="20"/>
  <c r="AV171" i="20"/>
  <c r="N171" i="20" s="1"/>
  <c r="AS171" i="20"/>
  <c r="AQ171" i="20"/>
  <c r="M171" i="20" s="1"/>
  <c r="BD171" i="20"/>
  <c r="BB171" i="20"/>
  <c r="AY171" i="20"/>
  <c r="AW171" i="20"/>
  <c r="AT171" i="20"/>
  <c r="AR171" i="20"/>
  <c r="AO171" i="20"/>
  <c r="AM171" i="20"/>
  <c r="AN171" i="20"/>
  <c r="AL171" i="20"/>
  <c r="L171" i="20" s="1"/>
  <c r="AJ171" i="20"/>
  <c r="AI171" i="20"/>
  <c r="AC171" i="20"/>
  <c r="AB171" i="20"/>
  <c r="J171" i="20" s="1"/>
  <c r="AA172" i="20"/>
  <c r="AE171" i="20"/>
  <c r="AD171" i="20"/>
  <c r="AH171" i="20"/>
  <c r="AG171" i="20"/>
  <c r="N171" i="22" l="1"/>
  <c r="N251" i="22" s="1"/>
  <c r="O171" i="22"/>
  <c r="K171" i="20"/>
  <c r="K39" i="20" s="1"/>
  <c r="BC172" i="22"/>
  <c r="BA172" i="22"/>
  <c r="AX172" i="22"/>
  <c r="AV172" i="22"/>
  <c r="AS172" i="22"/>
  <c r="AQ172" i="22"/>
  <c r="AN172" i="22"/>
  <c r="AL172" i="22"/>
  <c r="AI172" i="22"/>
  <c r="AG172" i="22"/>
  <c r="AD172" i="22"/>
  <c r="AB172" i="22"/>
  <c r="BD172" i="22"/>
  <c r="BB172" i="22"/>
  <c r="AY172" i="22"/>
  <c r="AW172" i="22"/>
  <c r="AT172" i="22"/>
  <c r="AR172" i="22"/>
  <c r="AO172" i="22"/>
  <c r="AM172" i="22"/>
  <c r="AJ172" i="22"/>
  <c r="AH172" i="22"/>
  <c r="AE172" i="22"/>
  <c r="AC172" i="22"/>
  <c r="J251" i="22"/>
  <c r="J39" i="22"/>
  <c r="K251" i="22"/>
  <c r="K39" i="22"/>
  <c r="L251" i="22"/>
  <c r="L39" i="22"/>
  <c r="M251" i="22"/>
  <c r="M39" i="22"/>
  <c r="N39" i="22"/>
  <c r="O251" i="22"/>
  <c r="O39" i="22"/>
  <c r="J251" i="20"/>
  <c r="J39" i="20"/>
  <c r="L251" i="20"/>
  <c r="L39" i="20"/>
  <c r="M251" i="20"/>
  <c r="M39" i="20"/>
  <c r="K251" i="20"/>
  <c r="N39" i="20"/>
  <c r="N251" i="20"/>
  <c r="O251" i="20"/>
  <c r="O39" i="20"/>
  <c r="BC172" i="20"/>
  <c r="BA172" i="20"/>
  <c r="AX172" i="20"/>
  <c r="AV172" i="20"/>
  <c r="AS172" i="20"/>
  <c r="AQ172" i="20"/>
  <c r="BD172" i="20"/>
  <c r="BB172" i="20"/>
  <c r="AY172" i="20"/>
  <c r="AW172" i="20"/>
  <c r="AT172" i="20"/>
  <c r="AR172" i="20"/>
  <c r="AO172" i="20"/>
  <c r="AM172" i="20"/>
  <c r="AN172" i="20"/>
  <c r="AL172" i="20"/>
  <c r="AE172" i="20"/>
  <c r="AD172" i="20"/>
  <c r="AC172" i="20"/>
  <c r="AB172" i="20"/>
  <c r="AJ172" i="20"/>
  <c r="AI172" i="20"/>
  <c r="AH172" i="20"/>
  <c r="AG172" i="20"/>
  <c r="AA173" i="20"/>
  <c r="BC173" i="22" l="1"/>
  <c r="BA173" i="22"/>
  <c r="AX173" i="22"/>
  <c r="AV173" i="22"/>
  <c r="AS173" i="22"/>
  <c r="AQ173" i="22"/>
  <c r="AN173" i="22"/>
  <c r="AL173" i="22"/>
  <c r="AI173" i="22"/>
  <c r="AG173" i="22"/>
  <c r="AD173" i="22"/>
  <c r="AB173" i="22"/>
  <c r="BD173" i="22"/>
  <c r="BB173" i="22"/>
  <c r="AY173" i="22"/>
  <c r="AW173" i="22"/>
  <c r="AT173" i="22"/>
  <c r="AR173" i="22"/>
  <c r="AO173" i="22"/>
  <c r="AM173" i="22"/>
  <c r="AJ173" i="22"/>
  <c r="AH173" i="22"/>
  <c r="AE173" i="22"/>
  <c r="AC173" i="22"/>
  <c r="BC173" i="20"/>
  <c r="BA173" i="20"/>
  <c r="AX173" i="20"/>
  <c r="AV173" i="20"/>
  <c r="AS173" i="20"/>
  <c r="AQ173" i="20"/>
  <c r="BD173" i="20"/>
  <c r="BB173" i="20"/>
  <c r="AY173" i="20"/>
  <c r="AW173" i="20"/>
  <c r="AT173" i="20"/>
  <c r="AR173" i="20"/>
  <c r="AO173" i="20"/>
  <c r="AM173" i="20"/>
  <c r="AN173" i="20"/>
  <c r="AL173" i="20"/>
  <c r="AJ173" i="20"/>
  <c r="AD173" i="20"/>
  <c r="AH173" i="20"/>
  <c r="AG173" i="20"/>
  <c r="AE173" i="20"/>
  <c r="AI173" i="20"/>
  <c r="AC173" i="20"/>
  <c r="AB173" i="20"/>
  <c r="AA174" i="20"/>
  <c r="BC174" i="22" l="1"/>
  <c r="BA174" i="22"/>
  <c r="AX174" i="22"/>
  <c r="AV174" i="22"/>
  <c r="AS174" i="22"/>
  <c r="AQ174" i="22"/>
  <c r="AN174" i="22"/>
  <c r="AL174" i="22"/>
  <c r="AI174" i="22"/>
  <c r="AG174" i="22"/>
  <c r="AD174" i="22"/>
  <c r="AB174" i="22"/>
  <c r="BD174" i="22"/>
  <c r="BB174" i="22"/>
  <c r="AY174" i="22"/>
  <c r="AW174" i="22"/>
  <c r="AT174" i="22"/>
  <c r="AR174" i="22"/>
  <c r="AO174" i="22"/>
  <c r="AM174" i="22"/>
  <c r="AJ174" i="22"/>
  <c r="AH174" i="22"/>
  <c r="AE174" i="22"/>
  <c r="AC174" i="22"/>
  <c r="BC174" i="20"/>
  <c r="BA174" i="20"/>
  <c r="AX174" i="20"/>
  <c r="AV174" i="20"/>
  <c r="AS174" i="20"/>
  <c r="AQ174" i="20"/>
  <c r="BD174" i="20"/>
  <c r="BB174" i="20"/>
  <c r="AY174" i="20"/>
  <c r="AW174" i="20"/>
  <c r="AT174" i="20"/>
  <c r="AR174" i="20"/>
  <c r="AO174" i="20"/>
  <c r="AM174" i="20"/>
  <c r="AN174" i="20"/>
  <c r="AL174" i="20"/>
  <c r="L174" i="20" s="1"/>
  <c r="AI174" i="20"/>
  <c r="AG174" i="20"/>
  <c r="K174" i="20" s="1"/>
  <c r="AJ174" i="20"/>
  <c r="AD174" i="20"/>
  <c r="AC174" i="20"/>
  <c r="AB174" i="20"/>
  <c r="J174" i="20" s="1"/>
  <c r="AE174" i="20"/>
  <c r="AH174" i="20"/>
  <c r="AA175" i="20"/>
  <c r="M174" i="20" l="1"/>
  <c r="N174" i="20"/>
  <c r="N254" i="20" s="1"/>
  <c r="O174" i="20"/>
  <c r="O254" i="20" s="1"/>
  <c r="J174" i="22"/>
  <c r="K174" i="22"/>
  <c r="K177" i="22" s="1"/>
  <c r="K180" i="22" s="1"/>
  <c r="K185" i="22" s="1"/>
  <c r="L174" i="22"/>
  <c r="L41" i="22" s="1"/>
  <c r="M174" i="22"/>
  <c r="M254" i="22" s="1"/>
  <c r="N174" i="22"/>
  <c r="O174" i="22"/>
  <c r="O41" i="22" s="1"/>
  <c r="BC175" i="22"/>
  <c r="BA175" i="22"/>
  <c r="AX175" i="22"/>
  <c r="AV175" i="22"/>
  <c r="AS175" i="22"/>
  <c r="AQ175" i="22"/>
  <c r="AN175" i="22"/>
  <c r="AL175" i="22"/>
  <c r="AI175" i="22"/>
  <c r="AG175" i="22"/>
  <c r="AD175" i="22"/>
  <c r="AB175" i="22"/>
  <c r="BD175" i="22"/>
  <c r="BB175" i="22"/>
  <c r="AY175" i="22"/>
  <c r="AW175" i="22"/>
  <c r="AT175" i="22"/>
  <c r="AR175" i="22"/>
  <c r="AO175" i="22"/>
  <c r="AM175" i="22"/>
  <c r="AJ175" i="22"/>
  <c r="AH175" i="22"/>
  <c r="AE175" i="22"/>
  <c r="AC175" i="22"/>
  <c r="J254" i="22"/>
  <c r="J177" i="22"/>
  <c r="J180" i="22" s="1"/>
  <c r="J41" i="22"/>
  <c r="K254" i="22"/>
  <c r="K41" i="22"/>
  <c r="L254" i="22"/>
  <c r="L177" i="22"/>
  <c r="L180" i="22" s="1"/>
  <c r="L185" i="22" s="1"/>
  <c r="M41" i="22"/>
  <c r="M177" i="22"/>
  <c r="M180" i="22" s="1"/>
  <c r="N254" i="22"/>
  <c r="N41" i="22"/>
  <c r="N177" i="22"/>
  <c r="N180" i="22" s="1"/>
  <c r="O254" i="22"/>
  <c r="O177" i="22"/>
  <c r="O180" i="22" s="1"/>
  <c r="J41" i="20"/>
  <c r="J254" i="20"/>
  <c r="K41" i="20"/>
  <c r="K254" i="20"/>
  <c r="L254" i="20"/>
  <c r="L41" i="20"/>
  <c r="N41" i="20"/>
  <c r="M254" i="20"/>
  <c r="M41" i="20"/>
  <c r="BC175" i="20"/>
  <c r="BA175" i="20"/>
  <c r="AX175" i="20"/>
  <c r="AV175" i="20"/>
  <c r="AS175" i="20"/>
  <c r="AQ175" i="20"/>
  <c r="BD175" i="20"/>
  <c r="BB175" i="20"/>
  <c r="AY175" i="20"/>
  <c r="AW175" i="20"/>
  <c r="AT175" i="20"/>
  <c r="AR175" i="20"/>
  <c r="AO175" i="20"/>
  <c r="AM175" i="20"/>
  <c r="AN175" i="20"/>
  <c r="AL175" i="20"/>
  <c r="AJ175" i="20"/>
  <c r="AC175" i="20"/>
  <c r="AA176" i="20"/>
  <c r="AE175" i="20"/>
  <c r="AD175" i="20"/>
  <c r="AH175" i="20"/>
  <c r="AG175" i="20"/>
  <c r="AI175" i="20"/>
  <c r="AB175" i="20"/>
  <c r="O41" i="20"/>
  <c r="BC176" i="22" l="1"/>
  <c r="BA176" i="22"/>
  <c r="AX176" i="22"/>
  <c r="AV176" i="22"/>
  <c r="AS176" i="22"/>
  <c r="AQ176" i="22"/>
  <c r="AN176" i="22"/>
  <c r="AL176" i="22"/>
  <c r="AI176" i="22"/>
  <c r="AG176" i="22"/>
  <c r="AD176" i="22"/>
  <c r="AB176" i="22"/>
  <c r="BD176" i="22"/>
  <c r="BB176" i="22"/>
  <c r="AY176" i="22"/>
  <c r="AW176" i="22"/>
  <c r="AT176" i="22"/>
  <c r="AR176" i="22"/>
  <c r="AO176" i="22"/>
  <c r="AM176" i="22"/>
  <c r="AJ176" i="22"/>
  <c r="AH176" i="22"/>
  <c r="AE176" i="22"/>
  <c r="AC176" i="22"/>
  <c r="BC176" i="20"/>
  <c r="BA176" i="20"/>
  <c r="AX176" i="20"/>
  <c r="AV176" i="20"/>
  <c r="AS176" i="20"/>
  <c r="AQ176" i="20"/>
  <c r="BD176" i="20"/>
  <c r="BB176" i="20"/>
  <c r="AY176" i="20"/>
  <c r="AW176" i="20"/>
  <c r="AT176" i="20"/>
  <c r="AR176" i="20"/>
  <c r="AO176" i="20"/>
  <c r="AM176" i="20"/>
  <c r="AN176" i="20"/>
  <c r="AL176" i="20"/>
  <c r="AJ176" i="20"/>
  <c r="AH176" i="20"/>
  <c r="AA177" i="20"/>
  <c r="AE176" i="20"/>
  <c r="AD176" i="20"/>
  <c r="AC176" i="20"/>
  <c r="AB176" i="20"/>
  <c r="AI176" i="20"/>
  <c r="AG176" i="20"/>
  <c r="J43" i="22"/>
  <c r="J257" i="22"/>
  <c r="J45" i="22" l="1"/>
  <c r="J47" i="22" s="1"/>
  <c r="J182" i="22" s="1"/>
  <c r="J262" i="22" s="1"/>
  <c r="O43" i="22"/>
  <c r="O257" i="22"/>
  <c r="N257" i="22"/>
  <c r="N43" i="22"/>
  <c r="K257" i="22"/>
  <c r="K43" i="22"/>
  <c r="M257" i="22"/>
  <c r="M43" i="22"/>
  <c r="L257" i="22"/>
  <c r="L43" i="22"/>
  <c r="J260" i="22"/>
  <c r="O45" i="22" l="1"/>
  <c r="O50" i="22" s="1"/>
  <c r="O50" i="20" s="1"/>
  <c r="O185" i="20" s="1"/>
  <c r="O265" i="20" s="1"/>
  <c r="L45" i="22"/>
  <c r="L50" i="22" s="1"/>
  <c r="L50" i="20" s="1"/>
  <c r="L185" i="20" s="1"/>
  <c r="L265" i="20" s="1"/>
  <c r="K45" i="22"/>
  <c r="K50" i="22" s="1"/>
  <c r="K50" i="20" s="1"/>
  <c r="K185" i="20" s="1"/>
  <c r="K265" i="20" s="1"/>
  <c r="J50" i="22"/>
  <c r="J50" i="20" s="1"/>
  <c r="J185" i="20" s="1"/>
  <c r="J265" i="20" s="1"/>
  <c r="M45" i="22"/>
  <c r="M50" i="22" s="1"/>
  <c r="M50" i="20" s="1"/>
  <c r="M185" i="20" s="1"/>
  <c r="M265" i="20" s="1"/>
  <c r="N45" i="22"/>
  <c r="N50" i="22" s="1"/>
  <c r="N50" i="20" s="1"/>
  <c r="N185" i="20" s="1"/>
  <c r="N265" i="20" s="1"/>
  <c r="J185" i="22"/>
  <c r="M260" i="22"/>
  <c r="M265" i="22" s="1"/>
  <c r="M185" i="22"/>
  <c r="N185" i="22"/>
  <c r="N260" i="22"/>
  <c r="N265" i="22" s="1"/>
  <c r="O260" i="22"/>
  <c r="O265" i="22" s="1"/>
  <c r="O185" i="22"/>
  <c r="J265" i="22"/>
  <c r="L260" i="22"/>
  <c r="L265" i="22" s="1"/>
  <c r="K260" i="22"/>
  <c r="K265" i="22" s="1"/>
  <c r="AJ124" i="20"/>
  <c r="AC124" i="20"/>
  <c r="AW124" i="20"/>
  <c r="BD124" i="20"/>
  <c r="AE124" i="20"/>
  <c r="AY124" i="20"/>
  <c r="BA124" i="20"/>
  <c r="AG124" i="20"/>
  <c r="AT124" i="20"/>
  <c r="AB124" i="20"/>
  <c r="AQ124" i="20"/>
  <c r="AL124" i="20"/>
  <c r="AM124" i="20"/>
  <c r="AR124" i="20"/>
  <c r="AV124" i="20"/>
  <c r="AH124" i="20"/>
  <c r="BB124" i="20"/>
  <c r="AS124" i="20"/>
  <c r="AN124" i="20"/>
  <c r="AI124" i="20"/>
  <c r="AX124" i="20"/>
  <c r="AV125" i="20" s="1"/>
  <c r="N125" i="20" s="1"/>
  <c r="N205" i="20" s="1"/>
  <c r="BC124" i="20"/>
  <c r="AO124" i="20"/>
  <c r="AD124" i="20"/>
  <c r="AB125" i="20" l="1"/>
  <c r="J125" i="20" s="1"/>
  <c r="J205" i="20" s="1"/>
  <c r="AG125" i="20"/>
  <c r="K125" i="20" s="1"/>
  <c r="K205" i="20" s="1"/>
  <c r="N124" i="20"/>
  <c r="N177" i="20" s="1"/>
  <c r="N43" i="20" s="1"/>
  <c r="BA125" i="20"/>
  <c r="O125" i="20" s="1"/>
  <c r="O205" i="20" s="1"/>
  <c r="AQ125" i="20"/>
  <c r="M125" i="20" s="1"/>
  <c r="M205" i="20" s="1"/>
  <c r="K124" i="20"/>
  <c r="K204" i="20" s="1"/>
  <c r="AL125" i="20"/>
  <c r="L125" i="20" s="1"/>
  <c r="L205" i="20" s="1"/>
  <c r="J124" i="20"/>
  <c r="O124" i="20"/>
  <c r="L124" i="20"/>
  <c r="M124" i="20"/>
  <c r="N26" i="20" l="1"/>
  <c r="N204" i="20"/>
  <c r="K177" i="20"/>
  <c r="K43" i="20" s="1"/>
  <c r="K26" i="20"/>
  <c r="N180" i="20"/>
  <c r="N184" i="20" s="1"/>
  <c r="N264" i="20" s="1"/>
  <c r="N257" i="20"/>
  <c r="N45" i="20"/>
  <c r="N49" i="20" s="1"/>
  <c r="M204" i="20"/>
  <c r="M177" i="20"/>
  <c r="M26" i="20"/>
  <c r="L204" i="20"/>
  <c r="L177" i="20"/>
  <c r="L180" i="20" s="1"/>
  <c r="L26" i="20"/>
  <c r="O26" i="20"/>
  <c r="O204" i="20"/>
  <c r="O177" i="20"/>
  <c r="J204" i="20"/>
  <c r="J177" i="20"/>
  <c r="J180" i="20" s="1"/>
  <c r="J26" i="20"/>
  <c r="K180" i="20" l="1"/>
  <c r="K260" i="20" s="1"/>
  <c r="N260" i="20"/>
  <c r="K257" i="20"/>
  <c r="K45" i="20"/>
  <c r="K49" i="20" s="1"/>
  <c r="J260" i="20"/>
  <c r="O257" i="20"/>
  <c r="O43" i="20"/>
  <c r="O45" i="20" s="1"/>
  <c r="O49" i="20" s="1"/>
  <c r="L184" i="20"/>
  <c r="L264" i="20" s="1"/>
  <c r="L260" i="20"/>
  <c r="M257" i="20"/>
  <c r="M43" i="20"/>
  <c r="M45" i="20" s="1"/>
  <c r="M49" i="20" s="1"/>
  <c r="J43" i="20"/>
  <c r="J45" i="20" s="1"/>
  <c r="J257" i="20"/>
  <c r="L257" i="20"/>
  <c r="L43" i="20"/>
  <c r="L45" i="20" s="1"/>
  <c r="L49" i="20" s="1"/>
  <c r="O180" i="20"/>
  <c r="M180" i="20"/>
  <c r="K184" i="20" l="1"/>
  <c r="K264" i="20" s="1"/>
  <c r="J47" i="20"/>
  <c r="J182" i="20" s="1"/>
  <c r="M184" i="20"/>
  <c r="M264" i="20" s="1"/>
  <c r="M260" i="20"/>
  <c r="O260" i="20"/>
  <c r="O184" i="20"/>
  <c r="O264" i="20" s="1"/>
  <c r="J262" i="20" l="1"/>
  <c r="J184" i="20"/>
  <c r="J264" i="20" s="1"/>
  <c r="J49" i="20"/>
</calcChain>
</file>

<file path=xl/comments1.xml><?xml version="1.0" encoding="utf-8"?>
<comments xmlns="http://schemas.openxmlformats.org/spreadsheetml/2006/main">
  <authors>
    <author>Tim de Jonge</author>
  </authors>
  <commentList>
    <comment ref="D74" authorId="0">
      <text>
        <r>
          <rPr>
            <sz val="8"/>
            <color indexed="81"/>
            <rFont val="Tahoma"/>
            <family val="2"/>
          </rPr>
          <t xml:space="preserve">De kosten van dakisolatie worden - in oveereenstemming met de hier gegeven R-waarde - automatisch in de begroting opgenomen bij dakconstructie (kap) of dakafwerking (plat dak).
</t>
        </r>
      </text>
    </comment>
    <comment ref="CA74" authorId="0">
      <text>
        <r>
          <rPr>
            <sz val="8"/>
            <color indexed="81"/>
            <rFont val="Tahoma"/>
            <family val="2"/>
          </rPr>
          <t xml:space="preserve">De kosten van dakisolatie worden - in oveereenstemming met de hier gegeven R-waarde - automatisch in de begroting opgenomen bij dakconstructie (kap) of dakafwerking (plat dak).
</t>
        </r>
      </text>
    </comment>
    <comment ref="CG74" authorId="0">
      <text>
        <r>
          <rPr>
            <sz val="8"/>
            <color indexed="81"/>
            <rFont val="Tahoma"/>
            <family val="2"/>
          </rPr>
          <t xml:space="preserve">De kosten van dakisolatie worden - in oveereenstemming met de hier gegeven R-waarde - automatisch in de begroting opgenomen bij dakconstructie (kap) of dakafwerking (plat dak).
</t>
        </r>
      </text>
    </comment>
    <comment ref="CM74" authorId="0">
      <text>
        <r>
          <rPr>
            <sz val="8"/>
            <color indexed="81"/>
            <rFont val="Tahoma"/>
            <family val="2"/>
          </rPr>
          <t xml:space="preserve">De kosten van dakisolatie worden - in oveereenstemming met de hier gegeven R-waarde - automatisch in de begroting opgenomen bij dakconstructie (kap) of dakafwerking (plat dak).
</t>
        </r>
      </text>
    </comment>
    <comment ref="CS74" authorId="0">
      <text>
        <r>
          <rPr>
            <sz val="8"/>
            <color indexed="81"/>
            <rFont val="Tahoma"/>
            <family val="2"/>
          </rPr>
          <t xml:space="preserve">De kosten van dakisolatie worden - in oveereenstemming met de hier gegeven R-waarde - automatisch in de begroting opgenomen bij dakconstructie (kap) of dakafwerking (plat dak).
</t>
        </r>
      </text>
    </comment>
    <comment ref="CY74" authorId="0">
      <text>
        <r>
          <rPr>
            <sz val="8"/>
            <color indexed="81"/>
            <rFont val="Tahoma"/>
            <family val="2"/>
          </rPr>
          <t xml:space="preserve">De kosten van dakisolatie worden - in oveereenstemming met de hier gegeven R-waarde - automatisch in de begroting opgenomen bij dakconstructie (kap) of dakafwerking (plat dak).
</t>
        </r>
      </text>
    </comment>
    <comment ref="D75" authorId="0">
      <text>
        <r>
          <rPr>
            <sz val="8"/>
            <color indexed="81"/>
            <rFont val="Tahoma"/>
            <family val="2"/>
          </rPr>
          <t xml:space="preserve">De kosten van gevelisolatie worden - in oveereenstemming met de hier gegeven R-waarde - automatisch in de begroting opgenomen bij buitenwanden skelet (hsb-binnenblad) of buitenwandafbouwconstructies (overige).
</t>
        </r>
      </text>
    </comment>
    <comment ref="CA75" authorId="0">
      <text>
        <r>
          <rPr>
            <sz val="8"/>
            <color indexed="81"/>
            <rFont val="Tahoma"/>
            <family val="2"/>
          </rPr>
          <t xml:space="preserve">De kosten van gevelisolatie worden - in oveereenstemming met de hier gegeven R-waarde - automatisch in de begroting opgenomen bij buitenwanden skelet (hsb-binnenblad) of buitenwandafbouwconstructies (overige).
</t>
        </r>
      </text>
    </comment>
    <comment ref="CG75" authorId="0">
      <text>
        <r>
          <rPr>
            <sz val="8"/>
            <color indexed="81"/>
            <rFont val="Tahoma"/>
            <family val="2"/>
          </rPr>
          <t xml:space="preserve">De kosten van gevelisolatie worden - in oveereenstemming met de hier gegeven R-waarde - automatisch in de begroting opgenomen bij buitenwanden skelet (hsb-binnenblad) of buitenwandafbouwconstructies (overige).
</t>
        </r>
      </text>
    </comment>
    <comment ref="CM75" authorId="0">
      <text>
        <r>
          <rPr>
            <sz val="8"/>
            <color indexed="81"/>
            <rFont val="Tahoma"/>
            <family val="2"/>
          </rPr>
          <t xml:space="preserve">De kosten van gevelisolatie worden - in oveereenstemming met de hier gegeven R-waarde - automatisch in de begroting opgenomen bij buitenwanden skelet (hsb-binnenblad) of buitenwandafbouwconstructies (overige).
</t>
        </r>
      </text>
    </comment>
    <comment ref="CS75" authorId="0">
      <text>
        <r>
          <rPr>
            <sz val="8"/>
            <color indexed="81"/>
            <rFont val="Tahoma"/>
            <family val="2"/>
          </rPr>
          <t xml:space="preserve">De kosten van gevelisolatie worden - in oveereenstemming met de hier gegeven R-waarde - automatisch in de begroting opgenomen bij buitenwanden skelet (hsb-binnenblad) of buitenwandafbouwconstructies (overige).
</t>
        </r>
      </text>
    </comment>
    <comment ref="CY75" authorId="0">
      <text>
        <r>
          <rPr>
            <sz val="8"/>
            <color indexed="81"/>
            <rFont val="Tahoma"/>
            <family val="2"/>
          </rPr>
          <t xml:space="preserve">De kosten van gevelisolatie worden - in oveereenstemming met de hier gegeven R-waarde - automatisch in de begroting opgenomen bij buitenwanden skelet (hsb-binnenblad) of buitenwandafbouwconstructies (overige).
</t>
        </r>
      </text>
    </comment>
    <comment ref="D76" authorId="0">
      <text>
        <r>
          <rPr>
            <sz val="8"/>
            <color indexed="81"/>
            <rFont val="Tahoma"/>
            <family val="2"/>
          </rPr>
          <t xml:space="preserve">De kosten van vloerisolatie worden - in oveereenstemming met de hier gegeven R-waarde - automatisch in de begroting opgenomen bij vloer op grondslag of vrijdragende vloeren (skelet).
</t>
        </r>
      </text>
    </comment>
    <comment ref="CA76" authorId="0">
      <text>
        <r>
          <rPr>
            <sz val="8"/>
            <color indexed="81"/>
            <rFont val="Tahoma"/>
            <family val="2"/>
          </rPr>
          <t xml:space="preserve">De kosten van vloerisolatie worden - in oveereenstemming met de hier gegeven R-waarde - automatisch in de begroting opgenomen bij vloer op grondslag of vrijdragende vloeren (skelet).
</t>
        </r>
      </text>
    </comment>
    <comment ref="CG76" authorId="0">
      <text>
        <r>
          <rPr>
            <sz val="8"/>
            <color indexed="81"/>
            <rFont val="Tahoma"/>
            <family val="2"/>
          </rPr>
          <t xml:space="preserve">De kosten van vloerisolatie worden - in oveereenstemming met de hier gegeven R-waarde - automatisch in de begroting opgenomen bij vloer op grondslag of vrijdragende vloeren (skelet).
</t>
        </r>
      </text>
    </comment>
    <comment ref="CM76" authorId="0">
      <text>
        <r>
          <rPr>
            <sz val="8"/>
            <color indexed="81"/>
            <rFont val="Tahoma"/>
            <family val="2"/>
          </rPr>
          <t xml:space="preserve">De kosten van vloerisolatie worden - in oveereenstemming met de hier gegeven R-waarde - automatisch in de begroting opgenomen bij vloer op grondslag of vrijdragende vloeren (skelet).
</t>
        </r>
      </text>
    </comment>
    <comment ref="CS76" authorId="0">
      <text>
        <r>
          <rPr>
            <sz val="8"/>
            <color indexed="81"/>
            <rFont val="Tahoma"/>
            <family val="2"/>
          </rPr>
          <t xml:space="preserve">De kosten van vloerisolatie worden - in oveereenstemming met de hier gegeven R-waarde - automatisch in de begroting opgenomen bij vloer op grondslag of vrijdragende vloeren (skelet).
</t>
        </r>
      </text>
    </comment>
    <comment ref="CY76" authorId="0">
      <text>
        <r>
          <rPr>
            <sz val="8"/>
            <color indexed="81"/>
            <rFont val="Tahoma"/>
            <family val="2"/>
          </rPr>
          <t xml:space="preserve">De kosten van vloerisolatie worden - in oveereenstemming met de hier gegeven R-waarde - automatisch in de begroting opgenomen bij vloer op grondslag of vrijdragende vloeren (skelet).
</t>
        </r>
      </text>
    </comment>
    <comment ref="D78" authorId="0">
      <text>
        <r>
          <rPr>
            <sz val="8"/>
            <color indexed="81"/>
            <rFont val="Tahoma"/>
            <family val="2"/>
          </rPr>
          <t xml:space="preserve">De kosten van de energieprestatie worden - in oveereenstemming met de hier gegeven U-waarde - automatisch in de begroting opgenomen bij dakopeningen.
</t>
        </r>
      </text>
    </comment>
    <comment ref="CA78" authorId="0">
      <text>
        <r>
          <rPr>
            <sz val="8"/>
            <color indexed="81"/>
            <rFont val="Tahoma"/>
            <family val="2"/>
          </rPr>
          <t xml:space="preserve">De kosten van de energieprestatie worden - in oveereenstemming met de hier gegeven U-waarde - automatisch in de begroting opgenomen bij dakopeningen.
</t>
        </r>
      </text>
    </comment>
    <comment ref="CG78" authorId="0">
      <text>
        <r>
          <rPr>
            <sz val="8"/>
            <color indexed="81"/>
            <rFont val="Tahoma"/>
            <family val="2"/>
          </rPr>
          <t xml:space="preserve">De kosten van de energieprestatie worden - in oveereenstemming met de hier gegeven U-waarde - automatisch in de begroting opgenomen bij dakopeningen.
</t>
        </r>
      </text>
    </comment>
    <comment ref="CM78" authorId="0">
      <text>
        <r>
          <rPr>
            <sz val="8"/>
            <color indexed="81"/>
            <rFont val="Tahoma"/>
            <family val="2"/>
          </rPr>
          <t xml:space="preserve">De kosten van de energieprestatie worden - in oveereenstemming met de hier gegeven U-waarde - automatisch in de begroting opgenomen bij dakopeningen.
</t>
        </r>
      </text>
    </comment>
    <comment ref="CS78" authorId="0">
      <text>
        <r>
          <rPr>
            <sz val="8"/>
            <color indexed="81"/>
            <rFont val="Tahoma"/>
            <family val="2"/>
          </rPr>
          <t xml:space="preserve">De kosten van de energieprestatie worden - in oveereenstemming met de hier gegeven U-waarde - automatisch in de begroting opgenomen bij dakopeningen.
</t>
        </r>
      </text>
    </comment>
    <comment ref="CY78" authorId="0">
      <text>
        <r>
          <rPr>
            <sz val="8"/>
            <color indexed="81"/>
            <rFont val="Tahoma"/>
            <family val="2"/>
          </rPr>
          <t xml:space="preserve">De kosten van de energieprestatie worden - in oveereenstemming met de hier gegeven U-waarde - automatisch in de begroting opgenomen bij dakopeningen.
</t>
        </r>
      </text>
    </comment>
    <comment ref="D79" authorId="0">
      <text>
        <r>
          <rPr>
            <sz val="8"/>
            <color indexed="81"/>
            <rFont val="Tahoma"/>
            <family val="2"/>
          </rPr>
          <t>Verifieer of de keuze van de energieprestatie in oveereenstemming is met de keuze in stap 4 t.a.v. de materialisatie van gevelopeningen.</t>
        </r>
      </text>
    </comment>
    <comment ref="CA79" authorId="0">
      <text>
        <r>
          <rPr>
            <sz val="8"/>
            <color indexed="81"/>
            <rFont val="Tahoma"/>
            <family val="2"/>
          </rPr>
          <t>Verifieer of de keuze van de energieprestatie in oveereenstemming is met de keuze in stap 4 t.a.v. de materialisatie van gevelopeningen.</t>
        </r>
      </text>
    </comment>
    <comment ref="CG79" authorId="0">
      <text>
        <r>
          <rPr>
            <sz val="8"/>
            <color indexed="81"/>
            <rFont val="Tahoma"/>
            <family val="2"/>
          </rPr>
          <t>Verifieer of de keuze van de energieprestatie in oveereenstemming is met de keuze in stap 4 t.a.v. de materialisatie van gevelopeningen.</t>
        </r>
      </text>
    </comment>
    <comment ref="CM79" authorId="0">
      <text>
        <r>
          <rPr>
            <sz val="8"/>
            <color indexed="81"/>
            <rFont val="Tahoma"/>
            <family val="2"/>
          </rPr>
          <t>Verifieer of de keuze van de energieprestatie in oveereenstemming is met de keuze in stap 4 t.a.v. de materialisatie van gevelopeningen.</t>
        </r>
      </text>
    </comment>
    <comment ref="CS79" authorId="0">
      <text>
        <r>
          <rPr>
            <sz val="8"/>
            <color indexed="81"/>
            <rFont val="Tahoma"/>
            <family val="2"/>
          </rPr>
          <t>Verifieer of de keuze van de energieprestatie in oveereenstemming is met de keuze in stap 4 t.a.v. de materialisatie van gevelopeningen.</t>
        </r>
      </text>
    </comment>
    <comment ref="CY79" authorId="0">
      <text>
        <r>
          <rPr>
            <sz val="8"/>
            <color indexed="81"/>
            <rFont val="Tahoma"/>
            <family val="2"/>
          </rPr>
          <t>Verifieer of de keuze van de energieprestatie in oveereenstemming is met de keuze in stap 4 t.a.v. de materialisatie van gevelopeningen.</t>
        </r>
      </text>
    </comment>
    <comment ref="D81" authorId="0">
      <text>
        <r>
          <rPr>
            <sz val="8"/>
            <color indexed="81"/>
            <rFont val="Tahoma"/>
            <family val="2"/>
          </rPr>
          <t xml:space="preserve">Oppervlakte van luifels in stap 3 zelf aangeven bij dakafbouwconstructies.
Selecteer in stap 4 bij dakabouwconstructies keuze 2 of 4.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A81" authorId="0">
      <text>
        <r>
          <rPr>
            <sz val="8"/>
            <color indexed="81"/>
            <rFont val="Tahoma"/>
            <family val="2"/>
          </rPr>
          <t xml:space="preserve">Oppervlakte van luifels in stap 3 zelf aangeven bij dakafbouwconstructies.
Selecteer in stap 4 bij dakabouwconstructies keuze 2 of 4.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G81" authorId="0">
      <text>
        <r>
          <rPr>
            <sz val="8"/>
            <color indexed="81"/>
            <rFont val="Tahoma"/>
            <family val="2"/>
          </rPr>
          <t xml:space="preserve">Oppervlakte van luifels in stap 3 zelf aangeven bij dakafbouwconstructies.
Selecteer in stap 4 bij dakabouwconstructies keuze 2 of 4.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M81" authorId="0">
      <text>
        <r>
          <rPr>
            <sz val="8"/>
            <color indexed="81"/>
            <rFont val="Tahoma"/>
            <family val="2"/>
          </rPr>
          <t xml:space="preserve">Oppervlakte van luifels in stap 3 zelf aangeven bij dakafbouwconstructies.
Selecteer in stap 4 bij dakabouwconstructies keuze 2 of 4.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S81" authorId="0">
      <text>
        <r>
          <rPr>
            <sz val="8"/>
            <color indexed="81"/>
            <rFont val="Tahoma"/>
            <family val="2"/>
          </rPr>
          <t xml:space="preserve">Oppervlakte van luifels in stap 3 zelf aangeven bij dakafbouwconstructies.
Selecteer in stap 4 bij dakabouwconstructies keuze 2 of 4.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Y81" authorId="0">
      <text>
        <r>
          <rPr>
            <sz val="8"/>
            <color indexed="81"/>
            <rFont val="Tahoma"/>
            <family val="2"/>
          </rPr>
          <t xml:space="preserve">Oppervlakte van luifels in stap 3 zelf aangeven bij dakafbouwconstructies.
Selecteer in stap 4 bij dakabouwconstructies keuze 2 of 4.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82" authorId="0">
      <text>
        <r>
          <rPr>
            <sz val="8"/>
            <color indexed="81"/>
            <rFont val="Tahoma"/>
            <family val="2"/>
          </rPr>
          <t>De kosten van screens worden - in oveereenstemming met de hier gegeven hoeveelheid - automatisch in de begroting opgenomen bij gevelopeningen.</t>
        </r>
      </text>
    </comment>
    <comment ref="CA82" authorId="0">
      <text>
        <r>
          <rPr>
            <sz val="8"/>
            <color indexed="81"/>
            <rFont val="Tahoma"/>
            <family val="2"/>
          </rPr>
          <t>De kosten van screens worden - in oveereenstemming met de hier gegeven hoeveelheid - automatisch in de begroting opgenomen bij gevelopeningen.</t>
        </r>
      </text>
    </comment>
    <comment ref="CG82" authorId="0">
      <text>
        <r>
          <rPr>
            <sz val="8"/>
            <color indexed="81"/>
            <rFont val="Tahoma"/>
            <family val="2"/>
          </rPr>
          <t>De kosten van screens worden - in oveereenstemming met de hier gegeven hoeveelheid - automatisch in de begroting opgenomen bij gevelopeningen.</t>
        </r>
      </text>
    </comment>
    <comment ref="CM82" authorId="0">
      <text>
        <r>
          <rPr>
            <sz val="8"/>
            <color indexed="81"/>
            <rFont val="Tahoma"/>
            <family val="2"/>
          </rPr>
          <t>De kosten van screens worden - in oveereenstemming met de hier gegeven hoeveelheid - automatisch in de begroting opgenomen bij gevelopeningen.</t>
        </r>
      </text>
    </comment>
    <comment ref="CS82" authorId="0">
      <text>
        <r>
          <rPr>
            <sz val="8"/>
            <color indexed="81"/>
            <rFont val="Tahoma"/>
            <family val="2"/>
          </rPr>
          <t>De kosten van screens worden - in oveereenstemming met de hier gegeven hoeveelheid - automatisch in de begroting opgenomen bij gevelopeningen.</t>
        </r>
      </text>
    </comment>
    <comment ref="CY82" authorId="0">
      <text>
        <r>
          <rPr>
            <sz val="8"/>
            <color indexed="81"/>
            <rFont val="Tahoma"/>
            <family val="2"/>
          </rPr>
          <t>De kosten van screens worden - in oveereenstemming met de hier gegeven hoeveelheid - automatisch in de begroting opgenomen bij gevelopeningen.</t>
        </r>
      </text>
    </comment>
    <comment ref="D83" authorId="0">
      <text>
        <r>
          <rPr>
            <sz val="8"/>
            <color indexed="81"/>
            <rFont val="Tahoma"/>
            <family val="2"/>
          </rPr>
          <t>De hier gemaakte selecties worden verwerkt in de kosten van de installaties.</t>
        </r>
      </text>
    </comment>
    <comment ref="CA83" authorId="0">
      <text>
        <r>
          <rPr>
            <sz val="8"/>
            <color indexed="81"/>
            <rFont val="Tahoma"/>
            <family val="2"/>
          </rPr>
          <t>De hier gemaakte selecties worden verwerkt in de kosten van de installaties.</t>
        </r>
      </text>
    </comment>
    <comment ref="CG83" authorId="0">
      <text>
        <r>
          <rPr>
            <sz val="8"/>
            <color indexed="81"/>
            <rFont val="Tahoma"/>
            <family val="2"/>
          </rPr>
          <t>De hier gemaakte selecties worden verwerkt in de kosten van de installaties.</t>
        </r>
      </text>
    </comment>
    <comment ref="CM83" authorId="0">
      <text>
        <r>
          <rPr>
            <sz val="8"/>
            <color indexed="81"/>
            <rFont val="Tahoma"/>
            <family val="2"/>
          </rPr>
          <t>De hier gemaakte selecties worden verwerkt in de kosten van de installaties.</t>
        </r>
      </text>
    </comment>
    <comment ref="CS83" authorId="0">
      <text>
        <r>
          <rPr>
            <sz val="8"/>
            <color indexed="81"/>
            <rFont val="Tahoma"/>
            <family val="2"/>
          </rPr>
          <t>De hier gemaakte selecties worden verwerkt in de kosten van de installaties.</t>
        </r>
      </text>
    </comment>
    <comment ref="CY83" authorId="0">
      <text>
        <r>
          <rPr>
            <sz val="8"/>
            <color indexed="81"/>
            <rFont val="Tahoma"/>
            <family val="2"/>
          </rPr>
          <t>De hier gemaakte selecties worden verwerkt in de kosten van de installaties.</t>
        </r>
      </text>
    </comment>
  </commentList>
</comments>
</file>

<file path=xl/sharedStrings.xml><?xml version="1.0" encoding="utf-8"?>
<sst xmlns="http://schemas.openxmlformats.org/spreadsheetml/2006/main" count="2820" uniqueCount="567">
  <si>
    <t>fundering</t>
  </si>
  <si>
    <t>skelet</t>
  </si>
  <si>
    <t>B</t>
  </si>
  <si>
    <t>daken</t>
  </si>
  <si>
    <t>gevels</t>
  </si>
  <si>
    <t>binnenwanden</t>
  </si>
  <si>
    <t>vloeren</t>
  </si>
  <si>
    <t>trappen etc.</t>
  </si>
  <si>
    <t>plafonds</t>
  </si>
  <si>
    <t>W vloeistof/gas</t>
  </si>
  <si>
    <t>W klimaat</t>
  </si>
  <si>
    <t>E elektra</t>
  </si>
  <si>
    <t>T transport</t>
  </si>
  <si>
    <t>terrein</t>
  </si>
  <si>
    <t>vaste inrichting</t>
  </si>
  <si>
    <t>diversen</t>
  </si>
  <si>
    <t>dakopeningen</t>
  </si>
  <si>
    <t>regeling klimaat en sanitair</t>
  </si>
  <si>
    <t>BVO</t>
  </si>
  <si>
    <t>Aantal bouwlagen</t>
  </si>
  <si>
    <t>Bebouwde oppervlakte</t>
  </si>
  <si>
    <t>Gebruiksoppervlakte</t>
  </si>
  <si>
    <t>m2</t>
  </si>
  <si>
    <t>st</t>
  </si>
  <si>
    <t>Kaveloppervlakte</t>
  </si>
  <si>
    <t>Niet bebouwde oppervlakte</t>
  </si>
  <si>
    <t>m</t>
  </si>
  <si>
    <t>CO2-footprint</t>
  </si>
  <si>
    <t>CED</t>
  </si>
  <si>
    <t>n.v.t.</t>
  </si>
  <si>
    <t>Type gebouw</t>
  </si>
  <si>
    <t>€ per 1-1-2011</t>
  </si>
  <si>
    <t>Kg eq.</t>
  </si>
  <si>
    <t>MJ</t>
  </si>
  <si>
    <t>Pts</t>
  </si>
  <si>
    <t>Recipe</t>
  </si>
  <si>
    <t>Schaduwprijzen</t>
  </si>
  <si>
    <t>Ecokosten</t>
  </si>
  <si>
    <t>dak</t>
  </si>
  <si>
    <t>gevel</t>
  </si>
  <si>
    <t>vloer</t>
  </si>
  <si>
    <t>gevelopeningen</t>
  </si>
  <si>
    <t>Installaties</t>
  </si>
  <si>
    <t xml:space="preserve">Stap 1: type en hoofdmaten van het gebouw </t>
  </si>
  <si>
    <t xml:space="preserve">Stap 2: thermische schil en installaties van het gebouw </t>
  </si>
  <si>
    <t>Bepaling Milieuprestatie Gebouwen (in 4 stappen)</t>
  </si>
  <si>
    <t>%</t>
  </si>
  <si>
    <t>keuze materialisaties</t>
  </si>
  <si>
    <t>NEN 2699 niveau 4</t>
  </si>
  <si>
    <t>Bouwkosten</t>
  </si>
  <si>
    <t>m3</t>
  </si>
  <si>
    <t>Fundering</t>
  </si>
  <si>
    <t>Skelet</t>
  </si>
  <si>
    <t>Gevels</t>
  </si>
  <si>
    <t>Binnenwanden</t>
  </si>
  <si>
    <t>Vloeren</t>
  </si>
  <si>
    <t>Plafonds</t>
  </si>
  <si>
    <t>Lift en transport</t>
  </si>
  <si>
    <t>Vaste inrichtingen</t>
  </si>
  <si>
    <t>Terrein</t>
  </si>
  <si>
    <t>Daken</t>
  </si>
  <si>
    <t>Waar zit de isolatie?</t>
  </si>
  <si>
    <t>5 n.v.t.</t>
  </si>
  <si>
    <t>1 alleen liftput(ten)</t>
  </si>
  <si>
    <t>2 betonvloer 100mm</t>
  </si>
  <si>
    <t>3 betonvloer 200mm</t>
  </si>
  <si>
    <t>1 betonstroken voor fundering op staal</t>
  </si>
  <si>
    <t>1 kalkzandsteen binnenblad</t>
  </si>
  <si>
    <t>1 woningbouw</t>
  </si>
  <si>
    <t>1 eenvoudige daktrimmen</t>
  </si>
  <si>
    <t>1 koepels en lichtstraten</t>
  </si>
  <si>
    <t>1 eps isolatie, kunststof bedekking</t>
  </si>
  <si>
    <t>1 baksteen (met isolatie)</t>
  </si>
  <si>
    <t>1 hardhouten kozijnen met HR++ glas</t>
  </si>
  <si>
    <t>2 betonbalken voor paalfundering</t>
  </si>
  <si>
    <t>2 t.p.g. betonwand (tunnelkist)</t>
  </si>
  <si>
    <t>2 t.p.g. betonvloer (tunnelkist)</t>
  </si>
  <si>
    <t>2 betonkolommen en -balken</t>
  </si>
  <si>
    <t>2 boeiboorden en overstekken</t>
  </si>
  <si>
    <t>2 (tuimel)dakramen</t>
  </si>
  <si>
    <t>2 steenwol isolatie, kunststof bedekking</t>
  </si>
  <si>
    <t>2 buitenisolatie met stukwerk</t>
  </si>
  <si>
    <t>2 aluminium kozijnen met HR++ glas</t>
  </si>
  <si>
    <t>3 …</t>
  </si>
  <si>
    <t>4 …</t>
  </si>
  <si>
    <t>3 prefabbeton binnenblad</t>
  </si>
  <si>
    <t>3 prefabbeton binnenwand</t>
  </si>
  <si>
    <t>3 kanaalplaatvloer</t>
  </si>
  <si>
    <t>3 eenvoudige dakgoten</t>
  </si>
  <si>
    <t>3 dakluiken</t>
  </si>
  <si>
    <t>3 keramische pannen</t>
  </si>
  <si>
    <t>3 kunststof kozijnen met HR++ glas</t>
  </si>
  <si>
    <t>4 staalconstructie bedrijfshallen</t>
  </si>
  <si>
    <t>4 overstekken en uitgetimmerde goten</t>
  </si>
  <si>
    <t>4 aluminium profielbanen</t>
  </si>
  <si>
    <t>4 passiefhuiskozijnen met 3-voudig-glas</t>
  </si>
  <si>
    <t>4 systeemwanden (metal-stud)</t>
  </si>
  <si>
    <t>3 cellenbeton</t>
  </si>
  <si>
    <t>2 gipsblokken</t>
  </si>
  <si>
    <t>1 kalkzandsteen (traditioneel)</t>
  </si>
  <si>
    <t>1 gezet-stalen kozijnen/opdekdeuren</t>
  </si>
  <si>
    <t>2 houten kozijnen/stompe deuren</t>
  </si>
  <si>
    <t>3 profielstalen puien/glas/stompe deuren</t>
  </si>
  <si>
    <t>4 aluminium puien/glas/stompe deuren</t>
  </si>
  <si>
    <t>2 bedrijven/casco: behangklaar, tegels</t>
  </si>
  <si>
    <t>1 prefab-beton galerij / balkon</t>
  </si>
  <si>
    <t>2 …</t>
  </si>
  <si>
    <t>1 vloerluik (kruipruimte of put)</t>
  </si>
  <si>
    <t>2 randafwerking vide (woningbouw)</t>
  </si>
  <si>
    <t>3 randafwerking vide (bedrijfsgebouw)</t>
  </si>
  <si>
    <t>4 randafwerking vide (zorg)</t>
  </si>
  <si>
    <t>1 houten traphek (maatwerk)</t>
  </si>
  <si>
    <t>3 balkon- en traphekken: stripstaal</t>
  </si>
  <si>
    <t>2 akoestische platen</t>
  </si>
  <si>
    <t>3 brandwerende onderzijde</t>
  </si>
  <si>
    <t>4 zorg/scholen: glasweefsel, tegels</t>
  </si>
  <si>
    <t>4 zorg/scholen: linoleum, tegels</t>
  </si>
  <si>
    <t>2 bedrijven/scholen: systeemplafonds</t>
  </si>
  <si>
    <t>2 kantoren</t>
  </si>
  <si>
    <t>3 scholen</t>
  </si>
  <si>
    <t>4 bedrijfshallen</t>
  </si>
  <si>
    <t>1 …</t>
  </si>
  <si>
    <t>1 woningbouw: t.b.v. liften</t>
  </si>
  <si>
    <t>2 kantoren: t.b.v. liften</t>
  </si>
  <si>
    <t>3 scholen: t.b.v. liften</t>
  </si>
  <si>
    <t>2 bedrijven/casco: basisverlichting</t>
  </si>
  <si>
    <t>3 kantoren afgewerkt/scholen</t>
  </si>
  <si>
    <t>4 zorg</t>
  </si>
  <si>
    <t>2 bedrijven/casco: basisvoorziening</t>
  </si>
  <si>
    <t>4 zorg (exclusief personen volg-/oproepsysteem)</t>
  </si>
  <si>
    <t>1 woningbouw (alleen brand)</t>
  </si>
  <si>
    <t>2 woningbouw (brand en inbraak)</t>
  </si>
  <si>
    <t>3 bedrijven/scholen (brand en inbraak)</t>
  </si>
  <si>
    <t>4 zorg (brand, inbraak, toegangscontrole)</t>
  </si>
  <si>
    <t>1 plateaulift (rolstoelen)</t>
  </si>
  <si>
    <t>3 personenlift/beddenlift (groot)</t>
  </si>
  <si>
    <t>2 personenlift (tot 8 personen)</t>
  </si>
  <si>
    <t>4 regelwerk/isolatie: afwerken met (D41)</t>
  </si>
  <si>
    <t>1 mortelschroefpalen (lengte 8m)</t>
  </si>
  <si>
    <t>1 woningbouw (veiligheidsaarding)</t>
  </si>
  <si>
    <t>2 prefab betonpalen (lengte 16m)</t>
  </si>
  <si>
    <t>3 stalen buispalen (lengte 16m)</t>
  </si>
  <si>
    <t>2 plat dak: stalen profielplaten</t>
  </si>
  <si>
    <t>1 plat dak: constructie als bij vloeren</t>
  </si>
  <si>
    <t>3 staalconstructie kantoren / scholen</t>
  </si>
  <si>
    <t>1 houten trap (maatwerk, 5m2/st)</t>
  </si>
  <si>
    <t>bouwkosten</t>
  </si>
  <si>
    <t>ecokosten</t>
  </si>
  <si>
    <t>project</t>
  </si>
  <si>
    <t>referentie</t>
  </si>
  <si>
    <t>(Wordt berekend uit kaveloppervlakte minus bebouwde oppervlakte.)</t>
  </si>
  <si>
    <t>BVOproj/BVOref</t>
  </si>
  <si>
    <t>alg.bouwplaatskst.</t>
  </si>
  <si>
    <t>opslagen winst</t>
  </si>
  <si>
    <t>hoeveelheden referenties (niveau 2 - clusters)</t>
  </si>
  <si>
    <t>hoeveelheden referenties (niveau 3 - elementclusters)</t>
  </si>
  <si>
    <t>hoeveelheden referenties (niveau 4 - elementen)</t>
  </si>
  <si>
    <t>materialisatie referenties (niveau 4 - elementen)</t>
  </si>
  <si>
    <t>materialisatie referenties (niveau 3 - elementclusters)</t>
  </si>
  <si>
    <t>materialisatie referenties (niveau 2 - clusters)</t>
  </si>
  <si>
    <t>bouwplaatskosten van referenties</t>
  </si>
  <si>
    <t>3 leien bekleding op (1B21:4) of (1D21)</t>
  </si>
  <si>
    <t>1 p.m. opgenomen in (1G24)</t>
  </si>
  <si>
    <t>B1A</t>
  </si>
  <si>
    <t>B1B</t>
  </si>
  <si>
    <t>B1C</t>
  </si>
  <si>
    <t>B1D</t>
  </si>
  <si>
    <t xml:space="preserve">B1E </t>
  </si>
  <si>
    <t>B1F</t>
  </si>
  <si>
    <t>B1G</t>
  </si>
  <si>
    <t>B1H</t>
  </si>
  <si>
    <t>B2A</t>
  </si>
  <si>
    <t>B2B</t>
  </si>
  <si>
    <t>B2C</t>
  </si>
  <si>
    <t>B2D</t>
  </si>
  <si>
    <t>B3A</t>
  </si>
  <si>
    <t>B4A</t>
  </si>
  <si>
    <t>B5A</t>
  </si>
  <si>
    <t>B5B</t>
  </si>
  <si>
    <t>B5D</t>
  </si>
  <si>
    <t>hoeveelheden</t>
  </si>
  <si>
    <t>Rc=3,5</t>
  </si>
  <si>
    <t>Rc=4,0</t>
  </si>
  <si>
    <t>Rc=5,0</t>
  </si>
  <si>
    <t>Rc=8,0</t>
  </si>
  <si>
    <t>buitenzonwering: vaste luifels</t>
  </si>
  <si>
    <t>buitenzonwering: screens</t>
  </si>
  <si>
    <t>Rc-waarden</t>
  </si>
  <si>
    <t>Beglazing / U-waarde van ramen</t>
  </si>
  <si>
    <t>Zonwering</t>
  </si>
  <si>
    <t>ruimtekoeling</t>
  </si>
  <si>
    <t>ventilatie</t>
  </si>
  <si>
    <t>overig</t>
  </si>
  <si>
    <t>Noord</t>
  </si>
  <si>
    <t>Oost</t>
  </si>
  <si>
    <t>West</t>
  </si>
  <si>
    <t>Zuid</t>
  </si>
  <si>
    <t>Oriëntatie - gevels</t>
  </si>
  <si>
    <t>Oriëntatie - gevelopeningen</t>
  </si>
  <si>
    <t>NEN 2699 niveau 3 elementclusters</t>
  </si>
  <si>
    <t>Oppervlakte in procenten van de totale (bruto) geveloppervlakte</t>
  </si>
  <si>
    <t>Oppervlakte in procenten van de totale oppervlakte van de gevelopeningen</t>
  </si>
  <si>
    <t>warmtapwater</t>
  </si>
  <si>
    <t>ruimteverwarming - opwekking</t>
  </si>
  <si>
    <t>ruimteverwarming - distributie</t>
  </si>
  <si>
    <t>m2K/W</t>
  </si>
  <si>
    <t>W/m2K</t>
  </si>
  <si>
    <t>U-raam=0,95 W/m2K staat voor: passiefhuiskozijn met drielaagsglas HR+++</t>
  </si>
  <si>
    <t>U=1,65</t>
  </si>
  <si>
    <t>U=0,95</t>
  </si>
  <si>
    <t>stuks</t>
  </si>
  <si>
    <t>syst.</t>
  </si>
  <si>
    <t>kenmerken</t>
  </si>
  <si>
    <t>Toelichtingen</t>
  </si>
  <si>
    <t>Thermische schil + installaties</t>
  </si>
  <si>
    <t>1.HRk</t>
  </si>
  <si>
    <t>2.HRg</t>
  </si>
  <si>
    <t>3.WPbg</t>
  </si>
  <si>
    <t>4.WPbe</t>
  </si>
  <si>
    <t>5.WPre</t>
  </si>
  <si>
    <t>1.HTr</t>
  </si>
  <si>
    <t>2.LTv</t>
  </si>
  <si>
    <t>3.LV</t>
  </si>
  <si>
    <t>1.Nve</t>
  </si>
  <si>
    <t>2.MAs</t>
  </si>
  <si>
    <t>3.MVw</t>
  </si>
  <si>
    <t>4.LBg</t>
  </si>
  <si>
    <t>5.LBw</t>
  </si>
  <si>
    <t>1.Ck</t>
  </si>
  <si>
    <t>2.Cg</t>
  </si>
  <si>
    <t>3.Z1</t>
  </si>
  <si>
    <t>4.Z2</t>
  </si>
  <si>
    <t>5.Le</t>
  </si>
  <si>
    <t>1.Dw</t>
  </si>
  <si>
    <t>Bouwkundig</t>
  </si>
  <si>
    <t>Inrichting</t>
  </si>
  <si>
    <t>Diversen</t>
  </si>
  <si>
    <t>Binnenwanden (inclusief openingen)</t>
  </si>
  <si>
    <t>Trappen, hellingen, leuningen</t>
  </si>
  <si>
    <t>Daken (inclusief dakopeningen)</t>
  </si>
  <si>
    <t>Gevels (inclusief gevelopeningen)</t>
  </si>
  <si>
    <t>Vaste inrichting</t>
  </si>
  <si>
    <t>Vaste inrichting (inclusief sanitair)</t>
  </si>
  <si>
    <t>Algemene bouwplaatskosten</t>
  </si>
  <si>
    <t>Opslagen: alg.bedrijfskosten + winst</t>
  </si>
  <si>
    <t>Dak</t>
  </si>
  <si>
    <t>Gevel</t>
  </si>
  <si>
    <t>Vloer</t>
  </si>
  <si>
    <t>Betreft de gesloten delen van het dak, dat deel uitmaakt van de thermische schil</t>
  </si>
  <si>
    <t>Betreft de gesloten delen van de gevel, die deel uitmaakt van de thermische schil</t>
  </si>
  <si>
    <t>Betreft de vloer, die deel uitmaakt van de thermische schil</t>
  </si>
  <si>
    <t>B1</t>
  </si>
  <si>
    <t>B2</t>
  </si>
  <si>
    <t>B3</t>
  </si>
  <si>
    <t>B4</t>
  </si>
  <si>
    <t>B5</t>
  </si>
  <si>
    <t>Project hoofdkenmerken</t>
  </si>
  <si>
    <t>Algemeen</t>
  </si>
  <si>
    <t>Projectnaam</t>
  </si>
  <si>
    <t>2012-07-01 Voorbeeld 1</t>
  </si>
  <si>
    <t>Zorg ervoor dat het totaal van de gevels 100% is.</t>
  </si>
  <si>
    <t>Zorg ervoor dat het totaal van de gevelopeningen 100% is.</t>
  </si>
  <si>
    <t>keuze (1)</t>
  </si>
  <si>
    <t>100.000</t>
  </si>
  <si>
    <t>Een cel waarin een vrije invoer mogelijk is (doorgaans een getal):</t>
  </si>
  <si>
    <t>Oppervlakten (NEN 2580)</t>
  </si>
  <si>
    <t>BVO - Bruto vloeroppervlakte</t>
  </si>
  <si>
    <t>GO - Gebruiksoppervlakte</t>
  </si>
  <si>
    <t>Dakopeningen</t>
  </si>
  <si>
    <t>Gevelopeningen</t>
  </si>
  <si>
    <t>Buitenzonwering: vaste luifels</t>
  </si>
  <si>
    <t>Buitenzonwering: screens</t>
  </si>
  <si>
    <t>Ruimteverwarming - opwekking</t>
  </si>
  <si>
    <t>Ruimteverwarming - distributie</t>
  </si>
  <si>
    <t>Ruimtekoeling</t>
  </si>
  <si>
    <t>Ventilatie</t>
  </si>
  <si>
    <t>Warmtapwater</t>
  </si>
  <si>
    <t>Overig (energiebesparing installaties)</t>
  </si>
  <si>
    <t>Een cel waarin een keuze gemaakt kan worden uit een lijst:</t>
  </si>
  <si>
    <t>Ramen/puien, voorzien van luifels, uitgedrukt in procenten van de totale oppervlakte van de gevelopeningen</t>
  </si>
  <si>
    <t>Ramen/puien, voorzien van zonwering, uitgedrukt in procenten van de totale oppervlakte van de gevelopeningen</t>
  </si>
  <si>
    <t>(2) appartementen</t>
  </si>
  <si>
    <t>(3) kantoor</t>
  </si>
  <si>
    <t>(4) school</t>
  </si>
  <si>
    <t>(5) bedrijfshal</t>
  </si>
  <si>
    <t>(1) eengezinswoning</t>
  </si>
  <si>
    <t>Totaal bouwkosten exclusief BTW</t>
  </si>
  <si>
    <t>Subtotaal directe bouwkosten</t>
  </si>
  <si>
    <t>NEN 2699 niveau 4 elementen</t>
  </si>
  <si>
    <t>uiteraard afwijkingen optreden ten opzichte van deze referenties. Niet alle combinaties zijn constructief, bouwfysisch of functioneel verantwoord. Gebruiker is zelf verantwoordelijk voor de</t>
  </si>
  <si>
    <t>gekozen combinatie van hoeveelheden, constructies en materialen.</t>
  </si>
  <si>
    <t>Bodemvoorzieningen</t>
  </si>
  <si>
    <t>Vloeren op grondslag</t>
  </si>
  <si>
    <t>Funderingsconstructies</t>
  </si>
  <si>
    <t>Paalfunderingen</t>
  </si>
  <si>
    <t>Buitenwanden (skelet)</t>
  </si>
  <si>
    <t>Binnenwanden (skelet)</t>
  </si>
  <si>
    <t>Vloeren (skelet)</t>
  </si>
  <si>
    <t>Daken (skelet)</t>
  </si>
  <si>
    <t>Hoofddraagconstructies</t>
  </si>
  <si>
    <t>Dakafbouwconstructies</t>
  </si>
  <si>
    <t>Dakafwerkingen</t>
  </si>
  <si>
    <t>Buitenwandopeningen</t>
  </si>
  <si>
    <t>Buitenwandafwerkingen</t>
  </si>
  <si>
    <t>Binnenwandopeningen</t>
  </si>
  <si>
    <t>Binnenwandafwerkingen</t>
  </si>
  <si>
    <t>Vloerafbouwconstructies</t>
  </si>
  <si>
    <t>Vloeropeningen</t>
  </si>
  <si>
    <t>Vloerafwerkingen</t>
  </si>
  <si>
    <t>Trappen en hellingconstructies</t>
  </si>
  <si>
    <t>Balustrades en leuningen</t>
  </si>
  <si>
    <t>Trap- en hellingafwerkingen</t>
  </si>
  <si>
    <t>Plafondafwerkingen</t>
  </si>
  <si>
    <t>Afvoer vaste stoffen</t>
  </si>
  <si>
    <t>Afvoeren (water)</t>
  </si>
  <si>
    <t>Water</t>
  </si>
  <si>
    <t>Gassen</t>
  </si>
  <si>
    <t>Koeling</t>
  </si>
  <si>
    <t>Verwarming</t>
  </si>
  <si>
    <t>Luchtbehandeling</t>
  </si>
  <si>
    <t>Regeling klimaat en sanitair</t>
  </si>
  <si>
    <t>Elektra algemeen</t>
  </si>
  <si>
    <t>Krachtstroom</t>
  </si>
  <si>
    <t>Verlichting</t>
  </si>
  <si>
    <t>Communicatie</t>
  </si>
  <si>
    <t>Beveiliging</t>
  </si>
  <si>
    <t>Gebouwbeheervoorzieningen</t>
  </si>
  <si>
    <t>Stap 4: materialisaties van het gebouw (volgens NEN 2699 - niveau 4 elementen)</t>
  </si>
  <si>
    <t>Trappen, hellingen etc.</t>
  </si>
  <si>
    <t>Trappen en hellingconstr.</t>
  </si>
  <si>
    <t>Gebouwbeheervoorz.</t>
  </si>
  <si>
    <t>Stap 3: afmetingen van het gebouw (volgens NEN 2699 - niveau 4 elementen)</t>
  </si>
  <si>
    <t>referentie: zie apart blad</t>
  </si>
  <si>
    <t>1 gesloten grondbalans (+17%nw.zand)</t>
  </si>
  <si>
    <t>ref: 1 gesloten grondbalans (+17%nw.zand)</t>
  </si>
  <si>
    <t>1 kalkzandst.bi.wand (spouw 2xE150)</t>
  </si>
  <si>
    <t>1 breedplaatvloer (bg: combi/ps-vloer)</t>
  </si>
  <si>
    <t>1 redcedar delen op (1B21:4) of (1D21)</t>
  </si>
  <si>
    <t>1 woningbouw: behangklaar, tegels</t>
  </si>
  <si>
    <t>1 woningbouw: cem.dekvloer, tegels</t>
  </si>
  <si>
    <t>1 woningbouw: spuitwerk (onderz.vloer)</t>
  </si>
  <si>
    <t>1 bouwk.en install.; post 1%</t>
  </si>
  <si>
    <t>1 bouwk.en install.; post 2%</t>
  </si>
  <si>
    <t>1 bouwk.en install.; post 5%</t>
  </si>
  <si>
    <t>1 bouwk.en install.; post 10%</t>
  </si>
  <si>
    <t>2 afvoer vervuilde grond, aanvul nw.zand</t>
  </si>
  <si>
    <t>3 (parkeer)kelder: damwand, schone gr.</t>
  </si>
  <si>
    <t>4 (parkeer)kelder: damwand, vervuilde gr.</t>
  </si>
  <si>
    <t>3 betonbalken voor paalf.(&gt;3 bouwlagen)</t>
  </si>
  <si>
    <t>2 tpg.beton bi.blad(kop)+gipsblok(langs)</t>
  </si>
  <si>
    <t>3 hellend dak: kapconstr. (maatwerk)</t>
  </si>
  <si>
    <t>4 hellend dak: kapconstr. (seriematig)</t>
  </si>
  <si>
    <t>4 dakkapel: uitwerken als gevel en dak</t>
  </si>
  <si>
    <t>3 metalen sandwichpaneel(met isolatie)</t>
  </si>
  <si>
    <t>2 alu.(golf)plaat op (1B21:4) of (1D21)</t>
  </si>
  <si>
    <t>4 volkernplaat op (1B21:4) of (1D21)</t>
  </si>
  <si>
    <t>3 kantoor/afgewerkt: glasweefsel, tegels</t>
  </si>
  <si>
    <t>2 bedrijven/casco: cem.dekvloer, tegels</t>
  </si>
  <si>
    <t>3 kantoor/afgewerkt: tapijt, tegels</t>
  </si>
  <si>
    <t>2 houten trap (won.seriematig, 3,5m2/st)</t>
  </si>
  <si>
    <t>3 prefab-beton met bordessen (6m2/st)</t>
  </si>
  <si>
    <t>3 staal met bordessen (6m2/st)</t>
  </si>
  <si>
    <t>2 houten traphek (woningbouw serie)</t>
  </si>
  <si>
    <t>4 balkon- en traphekken: glasplaten</t>
  </si>
  <si>
    <t>3 kantoor/afgewerkt: luxe systeemplaf.</t>
  </si>
  <si>
    <t>4 zorg: combinatie syst. en stukwerk</t>
  </si>
  <si>
    <t>3 kantoor/school: balie+sanitair+keuken</t>
  </si>
  <si>
    <t>3 zorg: balie+sanitair+keuken</t>
  </si>
  <si>
    <t>1 woning: sanitair+keuken basis</t>
  </si>
  <si>
    <t>2 woning: sanitair+keuken uitgebreid</t>
  </si>
  <si>
    <t>4 parkeren:70% verhard+30% tuinaanleg</t>
  </si>
  <si>
    <t>3 parkeren:50% verhard+50% tuinaanleg</t>
  </si>
  <si>
    <t>2 parkeren:50% verhard+0% tuinaanleg</t>
  </si>
  <si>
    <t>1 woning:10% verhard+0% tuinaanleg</t>
  </si>
  <si>
    <t>ref: 5 n.v.t.</t>
  </si>
  <si>
    <t>ref: 2 betonbalken voor paalfundering</t>
  </si>
  <si>
    <t>ref: 2 prefab betonpalen (lengte 16m)</t>
  </si>
  <si>
    <t>ref: 2 tpg.beton bi.blad(kop)+gipsblok(langs)</t>
  </si>
  <si>
    <t>ref: 2 t.p.g. betonwand (tunnelkist)</t>
  </si>
  <si>
    <t>ref: 2 t.p.g. betonvloer (tunnelkist)</t>
  </si>
  <si>
    <t>ref: 4 hellend dak: kapconstr. (seriematig)</t>
  </si>
  <si>
    <t>ref: 1 woningbouw</t>
  </si>
  <si>
    <t>ref: 3 eenvoudige dakgoten</t>
  </si>
  <si>
    <t>ref: 2 (tuimel)dakramen</t>
  </si>
  <si>
    <t>ref: 3 keramische pannen</t>
  </si>
  <si>
    <t>ref: 1 baksteen (met isolatie)</t>
  </si>
  <si>
    <t>ref: 1 hardhouten kozijnen met HR++ glas</t>
  </si>
  <si>
    <t>ref: 1 gezet-stalen kozijnen/opdekdeuren</t>
  </si>
  <si>
    <t>ref: 1 woningbouw: behangklaar, tegels</t>
  </si>
  <si>
    <t>ref: 2 randafwerking vide (woningbouw)</t>
  </si>
  <si>
    <t>ref: 1 woningbouw: cem.dekvloer, tegels</t>
  </si>
  <si>
    <t>ref: 2 houten trap (won.seriematig, 3,5m2/st)</t>
  </si>
  <si>
    <t>ref: 2 houten traphek (woningbouw serie)</t>
  </si>
  <si>
    <t>ref: 1 p.m. opgenomen in (1G24)</t>
  </si>
  <si>
    <t>ref: 1 woningbouw: spuitwerk (onderz.vloer)</t>
  </si>
  <si>
    <t>ref: 1 woningbouw (veiligheidsaarding)</t>
  </si>
  <si>
    <t>Energieverbruik gas en elektriciteit</t>
  </si>
  <si>
    <t>bij benadering volgens EPA *)</t>
  </si>
  <si>
    <t>Theoretisch gasverbruik per jaar</t>
  </si>
  <si>
    <t>Theoretisch elektriciteitsverbruik per jaar</t>
  </si>
  <si>
    <t>kWh</t>
  </si>
  <si>
    <t>Kosten ex.BTW</t>
  </si>
  <si>
    <t>€ per 1-1-2012</t>
  </si>
  <si>
    <t>Totaal energiekosten per jaar ex.BTW</t>
  </si>
  <si>
    <t>oordeelkundige selectie van hoeveelheden, constructies en materialen.</t>
  </si>
  <si>
    <t>uiteraard afwijkingen optreden ten opzichte van deze referenties. De hier gepresenteerde uitkomsten zijn mede bepaald op basis van de bouwfysische kenmerken, de hoeveelheden en de</t>
  </si>
  <si>
    <t>materialisaties, die zijn aangegeven in de stappen 2, 3 en 4 van het model. Voorzover de gebruiker daar (nog) geen keuzes in gemaakt heeft, hebben de aangegeven waarden in de stappen</t>
  </si>
  <si>
    <t>2, 3 en 4 betrekking op het referentieproject. De gebruiker is zelf verantwoordelijk voor een oordeelkundige selectie van referentieproject, bouwfysische kenmerken, hoeveelheden en materia-</t>
  </si>
  <si>
    <t>lisaties. De makers en aanbieders van het model aanvaarden geen enkele aansprakelijkheid voor de gevolgen van toepassing van het model in projecten.</t>
  </si>
  <si>
    <t>keuzes in een project kunnen uiteraard afwijkingen optreden ten opzichte van deze referenties. De hier gepresenteerde uitkomsten zijn mede bepaald op basis van de hoeveelheden en de</t>
  </si>
  <si>
    <t>materialisaties, die zijn aangegeven in de stappen 3 en 4 van het model. Voorzover de gebruiker daar (nog) geen keuzes in gemaakt heeft, hebben de aangegeven waarden in de stappen</t>
  </si>
  <si>
    <t>U-raam=1,65 W/m2K staat voor: houten, kunststof of geïsoleerd aluminium kozijn met dubbelglas HR++</t>
  </si>
  <si>
    <t>Het berekende energieverbruik in dit model is een schatting op basis van de uitgangspunten in de EPA methodiek, waarbij voor verschillende variabelen gemiddelde praktijkwaarden zijn aan-</t>
  </si>
  <si>
    <t>genomen. De uitkomsten geven inzicht in de effecten van verschillende keuzes op het energieverbruik. Het blijven globale ramingen zonder de status van een "officiële" EPA berekening.</t>
  </si>
  <si>
    <t xml:space="preserve">Het berekende energieverbruik en alle kostengegevens en indicaties van milieulasten zijn gebaseerd op het gebruik van materialen en constructies in referentieprojecten. Door de specifieke </t>
  </si>
  <si>
    <t>Alle kostengegevens en indicaties van milieulasten zijn gebaseerd op het gebruik van materialen en constructies in referentieprojecten. Door de specifieke keuzes in een project kunnen</t>
  </si>
  <si>
    <t>4 monolithisch 20 kN/m2</t>
  </si>
  <si>
    <t>4 houtskeletbouw binnenblad</t>
  </si>
  <si>
    <t>4 houtskeletbouw binnenwand</t>
  </si>
  <si>
    <t>4 houtskeletbouw vloer</t>
  </si>
  <si>
    <t>Buitenwandafbouwconstructies</t>
  </si>
  <si>
    <t>Binnenwandafbouwconstructies</t>
  </si>
  <si>
    <t>Buitenwandafbouwconstr.</t>
  </si>
  <si>
    <t>Binnenwandafbouwconstr.</t>
  </si>
  <si>
    <t>Referentieproject: materialisaties van het gebouw (volgens NEN 2699 - niveau 4 elementen)</t>
  </si>
  <si>
    <t>ref: 2 gipsblokken</t>
  </si>
  <si>
    <t>Specificatie van het gekozen referentieproject bij het (achter projectnaam) vermelde project.</t>
  </si>
  <si>
    <t>BVO, BrutoVloerOppervlakte van het gebouw volgens NEN 2580 (dus buitenruimten niet meetellen).</t>
  </si>
  <si>
    <t>Het aantal bouwlagen (d.w.z. event. kelder + begane grond + verdiepingen + event. toegankelijke zolder).</t>
  </si>
  <si>
    <t>De Kaveloppervlakte (dus het totaal van de bebouwde en onbebouwde oppervlakte).</t>
  </si>
  <si>
    <t>De bebouwde oppervlakte volgens NEN 2580.</t>
  </si>
  <si>
    <t>De nieut bebouwde oppervlakte volgens NEN 2580.</t>
  </si>
  <si>
    <t>GO, GebruiksOppervlakte van het gebouw volgens NEN 2580</t>
  </si>
  <si>
    <t>Referentieproject hoofdkenmerken</t>
  </si>
  <si>
    <t xml:space="preserve">Referentieproject: type en hoofdmaten van het gebouw </t>
  </si>
  <si>
    <t>Referentieproject: afmetingen van het gebouw (volgens NEN 2699 - niveau 4 elementen)</t>
  </si>
  <si>
    <t>1.</t>
  </si>
  <si>
    <t>2.</t>
  </si>
  <si>
    <t>3.</t>
  </si>
  <si>
    <t>4.</t>
  </si>
  <si>
    <t>5.</t>
  </si>
  <si>
    <t>0.</t>
  </si>
  <si>
    <t>referentie Rc-waarden etc. / install.</t>
  </si>
  <si>
    <t>keuzes RC-waarden etc. / installatietypen</t>
  </si>
  <si>
    <t>referentie materialisatie</t>
  </si>
  <si>
    <t>keuzes materialisatie</t>
  </si>
  <si>
    <t>regelnr.</t>
  </si>
  <si>
    <t>geslecteerd</t>
  </si>
  <si>
    <t>materiaal</t>
  </si>
  <si>
    <t>zoals aangegeven bij stap 2</t>
  </si>
  <si>
    <t>ref: 1 woningbouw (alleen brand)</t>
  </si>
  <si>
    <t>ref: 1 woning: sanitair+keuken basis</t>
  </si>
  <si>
    <t>ref: 1 woning:10% verhard+0% tuinaanleg</t>
  </si>
  <si>
    <t>ref: 1 bouwk.en install.; post 1%</t>
  </si>
  <si>
    <t>zie stap 2</t>
  </si>
  <si>
    <t>hoeveelheid element per eenheid elementcluster</t>
  </si>
  <si>
    <t>keuze 1 t.e.m. 5</t>
  </si>
  <si>
    <t>per eenheid element bij gekozen materialisatie</t>
  </si>
  <si>
    <t>meerkosten isolatie</t>
  </si>
  <si>
    <t>per eenheid element bij gekozen isolatie</t>
  </si>
  <si>
    <t>dakramen</t>
  </si>
  <si>
    <t>gevelramen</t>
  </si>
  <si>
    <t>luifels</t>
  </si>
  <si>
    <t>zonwering</t>
  </si>
  <si>
    <t>vloer op grondslag</t>
  </si>
  <si>
    <t>vrijdr.vloer</t>
  </si>
  <si>
    <t>klimaatinstallaties</t>
  </si>
  <si>
    <t>zoals aangegeven bij</t>
  </si>
  <si>
    <t>"thermische schil en installaties"</t>
  </si>
  <si>
    <t>bi-blad</t>
  </si>
  <si>
    <t>hell.dak</t>
  </si>
  <si>
    <t>geveliso.</t>
  </si>
  <si>
    <t>platdak</t>
  </si>
  <si>
    <t>ecokosten / meerkosten</t>
  </si>
  <si>
    <t>1-5. zonwering bij gevelkozijnen</t>
  </si>
  <si>
    <t>Deze gegevens worden gebruikt voor de berekening van de energievraag.</t>
  </si>
  <si>
    <t>ribcassette &lt;6&gt;</t>
  </si>
  <si>
    <t>laatste is I-ligger</t>
  </si>
  <si>
    <t>tuimeldakraam</t>
  </si>
  <si>
    <t>eps</t>
  </si>
  <si>
    <t>steemwol</t>
  </si>
  <si>
    <t>spouwisolatie</t>
  </si>
  <si>
    <t>met regelwerk</t>
  </si>
  <si>
    <t>buitenisolatiesysteem</t>
  </si>
  <si>
    <t>met elektr.bediening</t>
  </si>
  <si>
    <t>sandwich</t>
  </si>
  <si>
    <t>op grondslag</t>
  </si>
  <si>
    <t>hsb</t>
  </si>
  <si>
    <t>alu.profielbaan</t>
  </si>
  <si>
    <t>Rc</t>
  </si>
  <si>
    <t>per 100 ltr</t>
  </si>
  <si>
    <t xml:space="preserve">Referentieproject: thermische schil en installaties van het gebouw </t>
  </si>
  <si>
    <t>Installaties project</t>
  </si>
  <si>
    <t>Installaties referentie</t>
  </si>
  <si>
    <t>ref: 1 alleen liftput(ten)</t>
  </si>
  <si>
    <t>ref: 3 betonbalken voor paalf.(&gt;3 bouwlagen)</t>
  </si>
  <si>
    <t>ref: 1 kalkzandsteen binnenblad</t>
  </si>
  <si>
    <t>ref: 1 kalkzandst.bi.wand (spouw 2xE150)</t>
  </si>
  <si>
    <t>ref: 3 kanaalplaatvloer</t>
  </si>
  <si>
    <t>ref: 1 plat dak: constructie als bij vloeren</t>
  </si>
  <si>
    <t>ref: 1 eenvoudige daktrimmen</t>
  </si>
  <si>
    <t>ref: 3 dakluiken</t>
  </si>
  <si>
    <t>ref: 1 eps isolatie, kunststof bedekking</t>
  </si>
  <si>
    <t>ref: 1 prefab-beton galerij / balkon</t>
  </si>
  <si>
    <t>ref: 3 prefab-beton met bordessen (6m2/st)</t>
  </si>
  <si>
    <t>ref: 4 balkon- en traphekken: glasplaten</t>
  </si>
  <si>
    <t>ref: 2 personenlift (tot 8 personen)</t>
  </si>
  <si>
    <t>ref: 3 parkeren:50% verhard+50% tuinaanleg</t>
  </si>
  <si>
    <t>ref: 1 bouwk.en install.; post 2%</t>
  </si>
  <si>
    <t>4 staal met bordessen (6m2/st)</t>
  </si>
  <si>
    <t>2 bouwk.en install.; post 2%</t>
  </si>
  <si>
    <t>3 bouwk.en install.; post 5%</t>
  </si>
  <si>
    <t>4 bouwk.en install.; post 10%</t>
  </si>
  <si>
    <t>ref: 1 mortelschroefpalen (lengte 8m)</t>
  </si>
  <si>
    <t>ref: 1 breedplaatvloer (bg: combi/ps-vloer)</t>
  </si>
  <si>
    <t>ref: 3 staalconstructie kantoren / scholen</t>
  </si>
  <si>
    <t>ref: 2 boeiboorden en overstekken</t>
  </si>
  <si>
    <t>ref: 2 aluminium kozijnen met HR++ glas</t>
  </si>
  <si>
    <t>ref: 1 kalkzandsteen (traditioneel)</t>
  </si>
  <si>
    <t>ref: 2 houten kozijnen/stompe deuren</t>
  </si>
  <si>
    <t>ref: 2 bedrijven/casco: behangklaar, tegels</t>
  </si>
  <si>
    <t>ref: 3 randafwerking vide (bedrijfsgebouw)</t>
  </si>
  <si>
    <t>ref: 2 bedrijven/casco: cem.dekvloer, tegels</t>
  </si>
  <si>
    <t>ref: 3 staal met bordessen (6m2/st)</t>
  </si>
  <si>
    <t>ref: 3 balkon- en traphekken: stripstaal</t>
  </si>
  <si>
    <t>ref: 2 bedrijven/scholen: systeemplafonds</t>
  </si>
  <si>
    <t>ref: 1 …</t>
  </si>
  <si>
    <t>ref: 2 kantoren</t>
  </si>
  <si>
    <t>ref: 2 kantoren: t.b.v. liften</t>
  </si>
  <si>
    <t>ref: 2 bedrijven/casco: basisverlichting</t>
  </si>
  <si>
    <t>ref: 2 bedrijven/casco: basisvoorziening</t>
  </si>
  <si>
    <t>ref: 3 bedrijven/scholen (brand en inbraak)</t>
  </si>
  <si>
    <t>ref: 2 …</t>
  </si>
  <si>
    <t>ref: 3 kantoor/school: balie+sanitair+keuken</t>
  </si>
  <si>
    <t>ref: 4 parkeren:70% verhard+30% tuinaanleg</t>
  </si>
  <si>
    <t>1.CKb</t>
  </si>
  <si>
    <t>3.CKbw</t>
  </si>
  <si>
    <t>225W/m2BVO en 64W/m2BVO</t>
  </si>
  <si>
    <t>CO2 footprint</t>
  </si>
  <si>
    <t>carbon footprint</t>
  </si>
  <si>
    <t>recipe</t>
  </si>
  <si>
    <t>schaduwprijzen</t>
  </si>
  <si>
    <t>Rc-waarde Dak</t>
  </si>
  <si>
    <t>Rc-waarde Gevel</t>
  </si>
  <si>
    <t>Rc-waarde vloer</t>
  </si>
  <si>
    <t>U-waarde dakramen</t>
  </si>
  <si>
    <t>U-waarde gevelramen</t>
  </si>
  <si>
    <t>% luifels</t>
  </si>
  <si>
    <t>% zonwering</t>
  </si>
  <si>
    <t>HORIZ.ZOEKEN(AB$116;</t>
  </si>
  <si>
    <t>;$AA112;ONWAAR)</t>
  </si>
  <si>
    <t>Kostengegevens!$AJ$74:$BM$135</t>
  </si>
  <si>
    <t>HORIZ.ZOEKEN(AB$116+10;</t>
  </si>
  <si>
    <t>HORIZ.ZOEKEN(AB$116+20;</t>
  </si>
  <si>
    <t>HORIZ.ZOEKEN(AB$116+30;</t>
  </si>
  <si>
    <t>HORIZ.ZOEKEN(AB$116+40;</t>
  </si>
  <si>
    <t>in het model opgenomen</t>
  </si>
  <si>
    <t>zonwering referentieproject</t>
  </si>
  <si>
    <t>wordt binnenkort</t>
  </si>
  <si>
    <t>Een bedrijfshal</t>
  </si>
  <si>
    <t>Br/Ln</t>
  </si>
  <si>
    <t>Rs/Vs</t>
  </si>
  <si>
    <t>EL/k</t>
  </si>
  <si>
    <t>WV/Bs</t>
  </si>
  <si>
    <t>schaduwprijzen woningen</t>
  </si>
  <si>
    <t>schaduwprijzen kantoren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</si>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</sst>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_-* #,##0.00\-;_-* &quot;-&quot;??_-;_-@_-"/>
    <numFmt numFmtId="165" formatCode="_-* #,##0_-;_-* #,##0\-;_-* &quot;-&quot;??_-;_-@_-"/>
    <numFmt numFmtId="166" formatCode="_-* #,##0.000_-;_-* #,##0.000\-;_-* &quot;-&quot;??_-;_-@_-"/>
    <numFmt numFmtId="167" formatCode="#,##0_ ;\-#,##0\ "/>
    <numFmt numFmtId="168" formatCode="_-* #,##0.0_-;_-* #,##0.0\-;_-* &quot;-&quot;??_-;_-@_-"/>
    <numFmt numFmtId="169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CC0000"/>
      <name val="Arial"/>
      <family val="2"/>
    </font>
    <font>
      <b/>
      <sz val="12"/>
      <color rgb="FFCC0000"/>
      <name val="Arial"/>
      <family val="2"/>
    </font>
    <font>
      <sz val="10"/>
      <color rgb="FFCC0000"/>
      <name val="Arial"/>
      <family val="2"/>
    </font>
    <font>
      <sz val="10"/>
      <color theme="0" tint="-0.499984740745262"/>
      <name val="Arial"/>
      <family val="2"/>
    </font>
    <font>
      <sz val="10"/>
      <color rgb="FFCC66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14"/>
      <name val="Calibri"/>
      <family val="2"/>
      <scheme val="minor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F9F"/>
        <bgColor indexed="64"/>
      </patternFill>
    </fill>
    <fill>
      <patternFill patternType="solid">
        <fgColor rgb="FFFFEECD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50F72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/>
  </cellStyleXfs>
  <cellXfs count="545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/>
    <xf numFmtId="164" fontId="3" fillId="0" borderId="0" xfId="1" applyFont="1"/>
    <xf numFmtId="165" fontId="2" fillId="5" borderId="3" xfId="1" applyNumberFormat="1" applyFont="1" applyFill="1" applyBorder="1"/>
    <xf numFmtId="165" fontId="3" fillId="5" borderId="3" xfId="1" applyNumberFormat="1" applyFont="1" applyFill="1" applyBorder="1"/>
    <xf numFmtId="165" fontId="3" fillId="5" borderId="4" xfId="1" applyNumberFormat="1" applyFont="1" applyFill="1" applyBorder="1"/>
    <xf numFmtId="165" fontId="3" fillId="6" borderId="2" xfId="1" applyNumberFormat="1" applyFont="1" applyFill="1" applyBorder="1"/>
    <xf numFmtId="165" fontId="3" fillId="6" borderId="3" xfId="1" applyNumberFormat="1" applyFont="1" applyFill="1" applyBorder="1"/>
    <xf numFmtId="165" fontId="3" fillId="6" borderId="4" xfId="1" applyNumberFormat="1" applyFont="1" applyFill="1" applyBorder="1"/>
    <xf numFmtId="165" fontId="3" fillId="8" borderId="2" xfId="1" applyNumberFormat="1" applyFont="1" applyFill="1" applyBorder="1"/>
    <xf numFmtId="165" fontId="3" fillId="8" borderId="3" xfId="1" applyNumberFormat="1" applyFont="1" applyFill="1" applyBorder="1"/>
    <xf numFmtId="165" fontId="3" fillId="8" borderId="4" xfId="1" applyNumberFormat="1" applyFont="1" applyFill="1" applyBorder="1"/>
    <xf numFmtId="164" fontId="2" fillId="5" borderId="5" xfId="1" applyFont="1" applyFill="1" applyBorder="1"/>
    <xf numFmtId="164" fontId="2" fillId="5" borderId="15" xfId="1" applyFont="1" applyFill="1" applyBorder="1"/>
    <xf numFmtId="164" fontId="3" fillId="5" borderId="15" xfId="1" applyFont="1" applyFill="1" applyBorder="1"/>
    <xf numFmtId="164" fontId="2" fillId="5" borderId="8" xfId="1" applyFont="1" applyFill="1" applyBorder="1"/>
    <xf numFmtId="0" fontId="3" fillId="5" borderId="14" xfId="0" applyFont="1" applyFill="1" applyBorder="1"/>
    <xf numFmtId="0" fontId="3" fillId="5" borderId="0" xfId="0" applyFont="1" applyFill="1" applyBorder="1"/>
    <xf numFmtId="165" fontId="3" fillId="5" borderId="2" xfId="1" applyNumberFormat="1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3" fillId="5" borderId="10" xfId="0" applyFont="1" applyFill="1" applyBorder="1"/>
    <xf numFmtId="165" fontId="2" fillId="5" borderId="4" xfId="1" applyNumberFormat="1" applyFont="1" applyFill="1" applyBorder="1"/>
    <xf numFmtId="0" fontId="3" fillId="5" borderId="9" xfId="0" applyFont="1" applyFill="1" applyBorder="1"/>
    <xf numFmtId="165" fontId="3" fillId="10" borderId="2" xfId="1" applyNumberFormat="1" applyFont="1" applyFill="1" applyBorder="1"/>
    <xf numFmtId="165" fontId="3" fillId="10" borderId="3" xfId="1" applyNumberFormat="1" applyFont="1" applyFill="1" applyBorder="1"/>
    <xf numFmtId="165" fontId="3" fillId="10" borderId="4" xfId="1" applyNumberFormat="1" applyFont="1" applyFill="1" applyBorder="1"/>
    <xf numFmtId="165" fontId="3" fillId="5" borderId="6" xfId="1" applyNumberFormat="1" applyFont="1" applyFill="1" applyBorder="1"/>
    <xf numFmtId="165" fontId="3" fillId="5" borderId="0" xfId="1" applyNumberFormat="1" applyFont="1" applyFill="1" applyBorder="1"/>
    <xf numFmtId="165" fontId="3" fillId="5" borderId="9" xfId="1" applyNumberFormat="1" applyFont="1" applyFill="1" applyBorder="1"/>
    <xf numFmtId="0" fontId="2" fillId="5" borderId="0" xfId="0" applyFont="1" applyFill="1" applyBorder="1"/>
    <xf numFmtId="0" fontId="3" fillId="0" borderId="0" xfId="0" applyFont="1" applyAlignment="1">
      <alignment horizontal="left"/>
    </xf>
    <xf numFmtId="0" fontId="4" fillId="0" borderId="0" xfId="1" applyNumberFormat="1" applyFont="1" applyFill="1" applyBorder="1" applyAlignment="1"/>
    <xf numFmtId="165" fontId="4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165" fontId="5" fillId="0" borderId="6" xfId="1" applyNumberFormat="1" applyFont="1" applyFill="1" applyBorder="1" applyAlignment="1"/>
    <xf numFmtId="165" fontId="4" fillId="4" borderId="9" xfId="1" applyNumberFormat="1" applyFont="1" applyFill="1" applyBorder="1" applyAlignment="1">
      <alignment horizontal="center"/>
    </xf>
    <xf numFmtId="0" fontId="4" fillId="4" borderId="0" xfId="1" applyNumberFormat="1" applyFont="1" applyFill="1" applyBorder="1" applyAlignment="1"/>
    <xf numFmtId="165" fontId="4" fillId="4" borderId="0" xfId="1" applyNumberFormat="1" applyFont="1" applyFill="1" applyBorder="1" applyAlignment="1"/>
    <xf numFmtId="0" fontId="4" fillId="3" borderId="0" xfId="1" applyNumberFormat="1" applyFont="1" applyFill="1" applyBorder="1" applyAlignment="1"/>
    <xf numFmtId="165" fontId="4" fillId="3" borderId="0" xfId="1" applyNumberFormat="1" applyFont="1" applyFill="1" applyBorder="1" applyAlignment="1"/>
    <xf numFmtId="165" fontId="4" fillId="3" borderId="9" xfId="1" applyNumberFormat="1" applyFont="1" applyFill="1" applyBorder="1" applyAlignment="1">
      <alignment horizontal="center"/>
    </xf>
    <xf numFmtId="165" fontId="4" fillId="4" borderId="9" xfId="1" applyNumberFormat="1" applyFont="1" applyFill="1" applyBorder="1" applyAlignment="1">
      <alignment horizontal="left"/>
    </xf>
    <xf numFmtId="165" fontId="4" fillId="3" borderId="9" xfId="1" applyNumberFormat="1" applyFont="1" applyFill="1" applyBorder="1" applyAlignment="1">
      <alignment horizontal="left"/>
    </xf>
    <xf numFmtId="165" fontId="4" fillId="0" borderId="15" xfId="1" applyNumberFormat="1" applyFont="1" applyFill="1" applyBorder="1" applyAlignment="1"/>
    <xf numFmtId="0" fontId="4" fillId="0" borderId="0" xfId="4" applyFont="1" applyFill="1" applyBorder="1" applyAlignment="1"/>
    <xf numFmtId="0" fontId="4" fillId="0" borderId="0" xfId="4" applyNumberFormat="1" applyFont="1" applyFill="1" applyBorder="1" applyAlignment="1"/>
    <xf numFmtId="0" fontId="6" fillId="0" borderId="0" xfId="0" applyFont="1"/>
    <xf numFmtId="165" fontId="4" fillId="12" borderId="9" xfId="1" applyNumberFormat="1" applyFont="1" applyFill="1" applyBorder="1" applyAlignment="1">
      <alignment horizontal="center"/>
    </xf>
    <xf numFmtId="0" fontId="4" fillId="12" borderId="0" xfId="1" applyNumberFormat="1" applyFont="1" applyFill="1" applyBorder="1" applyAlignment="1"/>
    <xf numFmtId="9" fontId="4" fillId="0" borderId="0" xfId="2" applyFont="1" applyFill="1" applyBorder="1" applyAlignment="1"/>
    <xf numFmtId="165" fontId="4" fillId="13" borderId="0" xfId="1" applyNumberFormat="1" applyFont="1" applyFill="1" applyBorder="1" applyAlignment="1"/>
    <xf numFmtId="165" fontId="7" fillId="0" borderId="15" xfId="1" applyNumberFormat="1" applyFont="1" applyFill="1" applyBorder="1" applyAlignment="1"/>
    <xf numFmtId="165" fontId="7" fillId="12" borderId="0" xfId="1" applyNumberFormat="1" applyFont="1" applyFill="1" applyBorder="1" applyAlignment="1"/>
    <xf numFmtId="165" fontId="7" fillId="0" borderId="0" xfId="1" applyNumberFormat="1" applyFont="1" applyFill="1" applyBorder="1" applyAlignment="1"/>
    <xf numFmtId="165" fontId="4" fillId="13" borderId="14" xfId="1" applyNumberFormat="1" applyFont="1" applyFill="1" applyBorder="1" applyAlignment="1"/>
    <xf numFmtId="0" fontId="7" fillId="0" borderId="0" xfId="1" applyNumberFormat="1" applyFont="1" applyFill="1" applyBorder="1" applyAlignment="1"/>
    <xf numFmtId="165" fontId="4" fillId="0" borderId="14" xfId="1" applyNumberFormat="1" applyFont="1" applyFill="1" applyBorder="1" applyAlignment="1"/>
    <xf numFmtId="165" fontId="3" fillId="2" borderId="1" xfId="1" applyNumberFormat="1" applyFont="1" applyFill="1" applyBorder="1"/>
    <xf numFmtId="166" fontId="7" fillId="0" borderId="0" xfId="1" applyNumberFormat="1" applyFont="1" applyFill="1" applyBorder="1" applyAlignment="1"/>
    <xf numFmtId="0" fontId="7" fillId="0" borderId="0" xfId="4" applyFont="1" applyFill="1" applyBorder="1" applyAlignment="1"/>
    <xf numFmtId="0" fontId="7" fillId="0" borderId="0" xfId="4" applyNumberFormat="1" applyFont="1" applyFill="1" applyBorder="1" applyAlignment="1"/>
    <xf numFmtId="0" fontId="7" fillId="0" borderId="0" xfId="0" applyFont="1"/>
    <xf numFmtId="165" fontId="7" fillId="0" borderId="0" xfId="1" applyNumberFormat="1" applyFont="1"/>
    <xf numFmtId="165" fontId="2" fillId="5" borderId="1" xfId="1" applyNumberFormat="1" applyFont="1" applyFill="1" applyBorder="1"/>
    <xf numFmtId="165" fontId="3" fillId="6" borderId="1" xfId="1" applyNumberFormat="1" applyFont="1" applyFill="1" applyBorder="1"/>
    <xf numFmtId="165" fontId="3" fillId="10" borderId="1" xfId="1" applyNumberFormat="1" applyFont="1" applyFill="1" applyBorder="1"/>
    <xf numFmtId="165" fontId="3" fillId="8" borderId="1" xfId="1" applyNumberFormat="1" applyFont="1" applyFill="1" applyBorder="1"/>
    <xf numFmtId="165" fontId="4" fillId="15" borderId="0" xfId="1" applyNumberFormat="1" applyFont="1" applyFill="1" applyBorder="1" applyAlignment="1"/>
    <xf numFmtId="0" fontId="4" fillId="12" borderId="9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left"/>
    </xf>
    <xf numFmtId="0" fontId="3" fillId="12" borderId="0" xfId="0" applyFont="1" applyFill="1"/>
    <xf numFmtId="0" fontId="3" fillId="12" borderId="14" xfId="0" applyFont="1" applyFill="1" applyBorder="1"/>
    <xf numFmtId="0" fontId="3" fillId="12" borderId="0" xfId="0" applyFont="1" applyFill="1" applyBorder="1"/>
    <xf numFmtId="0" fontId="7" fillId="12" borderId="0" xfId="0" applyFont="1" applyFill="1"/>
    <xf numFmtId="0" fontId="3" fillId="0" borderId="14" xfId="0" applyFont="1" applyBorder="1"/>
    <xf numFmtId="0" fontId="3" fillId="0" borderId="0" xfId="0" applyFont="1" applyBorder="1"/>
    <xf numFmtId="165" fontId="3" fillId="0" borderId="14" xfId="0" applyNumberFormat="1" applyFont="1" applyBorder="1"/>
    <xf numFmtId="165" fontId="7" fillId="0" borderId="13" xfId="1" applyNumberFormat="1" applyFont="1" applyBorder="1"/>
    <xf numFmtId="165" fontId="3" fillId="0" borderId="0" xfId="0" applyNumberFormat="1" applyFont="1"/>
    <xf numFmtId="165" fontId="3" fillId="0" borderId="15" xfId="0" applyNumberFormat="1" applyFont="1" applyBorder="1"/>
    <xf numFmtId="0" fontId="3" fillId="0" borderId="15" xfId="0" applyFont="1" applyBorder="1"/>
    <xf numFmtId="0" fontId="3" fillId="4" borderId="6" xfId="0" applyFont="1" applyFill="1" applyBorder="1"/>
    <xf numFmtId="164" fontId="3" fillId="4" borderId="7" xfId="1" applyFont="1" applyFill="1" applyBorder="1"/>
    <xf numFmtId="0" fontId="7" fillId="3" borderId="9" xfId="0" applyFont="1" applyFill="1" applyBorder="1" applyAlignment="1">
      <alignment horizontal="left"/>
    </xf>
    <xf numFmtId="0" fontId="7" fillId="3" borderId="9" xfId="0" applyFont="1" applyFill="1" applyBorder="1" applyAlignment="1">
      <alignment horizontal="center"/>
    </xf>
    <xf numFmtId="164" fontId="3" fillId="4" borderId="8" xfId="1" applyFont="1" applyFill="1" applyBorder="1"/>
    <xf numFmtId="164" fontId="3" fillId="4" borderId="10" xfId="1" applyFont="1" applyFill="1" applyBorder="1"/>
    <xf numFmtId="0" fontId="3" fillId="4" borderId="0" xfId="0" applyFont="1" applyFill="1"/>
    <xf numFmtId="0" fontId="3" fillId="3" borderId="0" xfId="0" applyFont="1" applyFill="1"/>
    <xf numFmtId="0" fontId="3" fillId="12" borderId="15" xfId="0" applyFont="1" applyFill="1" applyBorder="1"/>
    <xf numFmtId="165" fontId="3" fillId="14" borderId="15" xfId="0" applyNumberFormat="1" applyFont="1" applyFill="1" applyBorder="1"/>
    <xf numFmtId="165" fontId="3" fillId="0" borderId="0" xfId="0" applyNumberFormat="1" applyFont="1" applyBorder="1"/>
    <xf numFmtId="0" fontId="3" fillId="4" borderId="9" xfId="0" applyFont="1" applyFill="1" applyBorder="1"/>
    <xf numFmtId="0" fontId="3" fillId="3" borderId="9" xfId="0" applyFont="1" applyFill="1" applyBorder="1"/>
    <xf numFmtId="0" fontId="3" fillId="12" borderId="9" xfId="0" applyFont="1" applyFill="1" applyBorder="1"/>
    <xf numFmtId="0" fontId="3" fillId="11" borderId="0" xfId="0" applyFont="1" applyFill="1"/>
    <xf numFmtId="165" fontId="4" fillId="12" borderId="14" xfId="1" applyNumberFormat="1" applyFont="1" applyFill="1" applyBorder="1" applyAlignment="1"/>
    <xf numFmtId="165" fontId="4" fillId="12" borderId="0" xfId="1" applyNumberFormat="1" applyFont="1" applyFill="1" applyBorder="1" applyAlignment="1"/>
    <xf numFmtId="166" fontId="3" fillId="0" borderId="0" xfId="1" applyNumberFormat="1" applyFont="1"/>
    <xf numFmtId="165" fontId="7" fillId="12" borderId="0" xfId="0" applyNumberFormat="1" applyFont="1" applyFill="1"/>
    <xf numFmtId="165" fontId="7" fillId="0" borderId="15" xfId="0" applyNumberFormat="1" applyFont="1" applyBorder="1"/>
    <xf numFmtId="166" fontId="7" fillId="0" borderId="0" xfId="1" applyNumberFormat="1" applyFont="1"/>
    <xf numFmtId="0" fontId="8" fillId="0" borderId="0" xfId="1" applyNumberFormat="1" applyFont="1"/>
    <xf numFmtId="0" fontId="9" fillId="0" borderId="0" xfId="1" applyNumberFormat="1" applyFont="1"/>
    <xf numFmtId="0" fontId="3" fillId="4" borderId="5" xfId="0" applyFont="1" applyFill="1" applyBorder="1" applyAlignment="1">
      <alignment horizontal="left" indent="1"/>
    </xf>
    <xf numFmtId="0" fontId="3" fillId="5" borderId="15" xfId="0" applyFont="1" applyFill="1" applyBorder="1"/>
    <xf numFmtId="165" fontId="3" fillId="5" borderId="8" xfId="1" applyNumberFormat="1" applyFont="1" applyFill="1" applyBorder="1"/>
    <xf numFmtId="0" fontId="4" fillId="4" borderId="8" xfId="0" applyFont="1" applyFill="1" applyBorder="1" applyAlignment="1">
      <alignment horizontal="left" indent="1"/>
    </xf>
    <xf numFmtId="0" fontId="11" fillId="0" borderId="0" xfId="1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165" fontId="12" fillId="0" borderId="0" xfId="1" applyNumberFormat="1" applyFont="1"/>
    <xf numFmtId="164" fontId="12" fillId="0" borderId="0" xfId="1" applyFont="1"/>
    <xf numFmtId="0" fontId="12" fillId="4" borderId="6" xfId="0" applyFont="1" applyFill="1" applyBorder="1"/>
    <xf numFmtId="164" fontId="12" fillId="4" borderId="7" xfId="1" applyFont="1" applyFill="1" applyBorder="1"/>
    <xf numFmtId="164" fontId="12" fillId="4" borderId="10" xfId="1" applyFont="1" applyFill="1" applyBorder="1"/>
    <xf numFmtId="0" fontId="10" fillId="0" borderId="0" xfId="0" applyFont="1"/>
    <xf numFmtId="165" fontId="12" fillId="5" borderId="6" xfId="1" applyNumberFormat="1" applyFont="1" applyFill="1" applyBorder="1"/>
    <xf numFmtId="0" fontId="12" fillId="5" borderId="7" xfId="0" applyFont="1" applyFill="1" applyBorder="1"/>
    <xf numFmtId="165" fontId="10" fillId="5" borderId="2" xfId="1" applyNumberFormat="1" applyFont="1" applyFill="1" applyBorder="1"/>
    <xf numFmtId="165" fontId="12" fillId="6" borderId="2" xfId="1" applyNumberFormat="1" applyFont="1" applyFill="1" applyBorder="1"/>
    <xf numFmtId="165" fontId="12" fillId="10" borderId="2" xfId="1" applyNumberFormat="1" applyFont="1" applyFill="1" applyBorder="1"/>
    <xf numFmtId="165" fontId="12" fillId="8" borderId="2" xfId="1" applyNumberFormat="1" applyFont="1" applyFill="1" applyBorder="1"/>
    <xf numFmtId="165" fontId="12" fillId="5" borderId="0" xfId="1" applyNumberFormat="1" applyFont="1" applyFill="1" applyBorder="1"/>
    <xf numFmtId="0" fontId="12" fillId="5" borderId="14" xfId="0" applyFont="1" applyFill="1" applyBorder="1"/>
    <xf numFmtId="165" fontId="12" fillId="6" borderId="3" xfId="1" applyNumberFormat="1" applyFont="1" applyFill="1" applyBorder="1"/>
    <xf numFmtId="165" fontId="12" fillId="10" borderId="3" xfId="1" applyNumberFormat="1" applyFont="1" applyFill="1" applyBorder="1"/>
    <xf numFmtId="165" fontId="12" fillId="8" borderId="3" xfId="1" applyNumberFormat="1" applyFont="1" applyFill="1" applyBorder="1"/>
    <xf numFmtId="0" fontId="12" fillId="5" borderId="15" xfId="0" applyFont="1" applyFill="1" applyBorder="1"/>
    <xf numFmtId="0" fontId="12" fillId="5" borderId="0" xfId="0" applyFont="1" applyFill="1" applyBorder="1"/>
    <xf numFmtId="165" fontId="12" fillId="5" borderId="3" xfId="1" applyNumberFormat="1" applyFont="1" applyFill="1" applyBorder="1"/>
    <xf numFmtId="165" fontId="12" fillId="5" borderId="9" xfId="1" applyNumberFormat="1" applyFont="1" applyFill="1" applyBorder="1"/>
    <xf numFmtId="0" fontId="12" fillId="5" borderId="10" xfId="0" applyFont="1" applyFill="1" applyBorder="1"/>
    <xf numFmtId="165" fontId="10" fillId="5" borderId="4" xfId="1" applyNumberFormat="1" applyFont="1" applyFill="1" applyBorder="1"/>
    <xf numFmtId="165" fontId="12" fillId="6" borderId="4" xfId="1" applyNumberFormat="1" applyFont="1" applyFill="1" applyBorder="1"/>
    <xf numFmtId="165" fontId="12" fillId="10" borderId="4" xfId="1" applyNumberFormat="1" applyFont="1" applyFill="1" applyBorder="1"/>
    <xf numFmtId="165" fontId="12" fillId="8" borderId="4" xfId="1" applyNumberFormat="1" applyFont="1" applyFill="1" applyBorder="1"/>
    <xf numFmtId="164" fontId="12" fillId="4" borderId="8" xfId="1" applyFont="1" applyFill="1" applyBorder="1"/>
    <xf numFmtId="0" fontId="12" fillId="4" borderId="9" xfId="0" applyFont="1" applyFill="1" applyBorder="1" applyAlignment="1">
      <alignment horizontal="center"/>
    </xf>
    <xf numFmtId="164" fontId="10" fillId="5" borderId="5" xfId="1" applyFont="1" applyFill="1" applyBorder="1"/>
    <xf numFmtId="0" fontId="12" fillId="5" borderId="6" xfId="0" applyFont="1" applyFill="1" applyBorder="1"/>
    <xf numFmtId="164" fontId="12" fillId="5" borderId="15" xfId="1" applyFont="1" applyFill="1" applyBorder="1"/>
    <xf numFmtId="164" fontId="10" fillId="5" borderId="15" xfId="1" applyFont="1" applyFill="1" applyBorder="1"/>
    <xf numFmtId="164" fontId="10" fillId="5" borderId="8" xfId="1" applyFont="1" applyFill="1" applyBorder="1"/>
    <xf numFmtId="0" fontId="12" fillId="5" borderId="9" xfId="0" applyFont="1" applyFill="1" applyBorder="1"/>
    <xf numFmtId="0" fontId="12" fillId="5" borderId="8" xfId="0" applyFont="1" applyFill="1" applyBorder="1"/>
    <xf numFmtId="165" fontId="3" fillId="0" borderId="0" xfId="1" applyNumberFormat="1" applyFont="1" applyBorder="1"/>
    <xf numFmtId="0" fontId="3" fillId="0" borderId="0" xfId="0" applyFont="1" applyBorder="1" applyAlignment="1">
      <alignment horizontal="left"/>
    </xf>
    <xf numFmtId="0" fontId="7" fillId="0" borderId="0" xfId="1" applyNumberFormat="1" applyFont="1"/>
    <xf numFmtId="165" fontId="12" fillId="5" borderId="4" xfId="1" applyNumberFormat="1" applyFont="1" applyFill="1" applyBorder="1"/>
    <xf numFmtId="164" fontId="3" fillId="5" borderId="10" xfId="1" applyFont="1" applyFill="1" applyBorder="1"/>
    <xf numFmtId="165" fontId="3" fillId="5" borderId="7" xfId="1" applyNumberFormat="1" applyFont="1" applyFill="1" applyBorder="1"/>
    <xf numFmtId="165" fontId="3" fillId="5" borderId="14" xfId="1" applyNumberFormat="1" applyFont="1" applyFill="1" applyBorder="1"/>
    <xf numFmtId="165" fontId="3" fillId="5" borderId="10" xfId="1" applyNumberFormat="1" applyFont="1" applyFill="1" applyBorder="1"/>
    <xf numFmtId="165" fontId="12" fillId="5" borderId="2" xfId="1" applyNumberFormat="1" applyFont="1" applyFill="1" applyBorder="1"/>
    <xf numFmtId="164" fontId="3" fillId="5" borderId="8" xfId="1" applyFont="1" applyFill="1" applyBorder="1"/>
    <xf numFmtId="165" fontId="13" fillId="5" borderId="5" xfId="1" applyNumberFormat="1" applyFont="1" applyFill="1" applyBorder="1"/>
    <xf numFmtId="165" fontId="13" fillId="5" borderId="15" xfId="1" applyNumberFormat="1" applyFont="1" applyFill="1" applyBorder="1"/>
    <xf numFmtId="165" fontId="13" fillId="5" borderId="8" xfId="1" applyNumberFormat="1" applyFont="1" applyFill="1" applyBorder="1"/>
    <xf numFmtId="165" fontId="13" fillId="5" borderId="11" xfId="1" applyNumberFormat="1" applyFont="1" applyFill="1" applyBorder="1"/>
    <xf numFmtId="164" fontId="2" fillId="4" borderId="5" xfId="1" applyFont="1" applyFill="1" applyBorder="1"/>
    <xf numFmtId="164" fontId="10" fillId="4" borderId="5" xfId="1" applyFont="1" applyFill="1" applyBorder="1"/>
    <xf numFmtId="165" fontId="13" fillId="5" borderId="6" xfId="1" applyNumberFormat="1" applyFont="1" applyFill="1" applyBorder="1"/>
    <xf numFmtId="165" fontId="13" fillId="5" borderId="0" xfId="1" applyNumberFormat="1" applyFont="1" applyFill="1" applyBorder="1"/>
    <xf numFmtId="0" fontId="13" fillId="5" borderId="0" xfId="0" applyFont="1" applyFill="1" applyBorder="1"/>
    <xf numFmtId="165" fontId="13" fillId="5" borderId="9" xfId="1" applyNumberFormat="1" applyFont="1" applyFill="1" applyBorder="1"/>
    <xf numFmtId="0" fontId="3" fillId="4" borderId="6" xfId="0" applyFont="1" applyFill="1" applyBorder="1" applyAlignment="1">
      <alignment horizontal="left" indent="1"/>
    </xf>
    <xf numFmtId="0" fontId="4" fillId="4" borderId="9" xfId="0" applyFont="1" applyFill="1" applyBorder="1" applyAlignment="1">
      <alignment horizontal="left" indent="1"/>
    </xf>
    <xf numFmtId="165" fontId="13" fillId="5" borderId="12" xfId="1" applyNumberFormat="1" applyFont="1" applyFill="1" applyBorder="1"/>
    <xf numFmtId="0" fontId="13" fillId="5" borderId="7" xfId="0" applyFont="1" applyFill="1" applyBorder="1"/>
    <xf numFmtId="0" fontId="13" fillId="5" borderId="14" xfId="0" applyFont="1" applyFill="1" applyBorder="1"/>
    <xf numFmtId="0" fontId="13" fillId="5" borderId="10" xfId="0" applyFont="1" applyFill="1" applyBorder="1"/>
    <xf numFmtId="0" fontId="13" fillId="5" borderId="13" xfId="0" applyFont="1" applyFill="1" applyBorder="1"/>
    <xf numFmtId="165" fontId="14" fillId="5" borderId="6" xfId="1" applyNumberFormat="1" applyFont="1" applyFill="1" applyBorder="1"/>
    <xf numFmtId="165" fontId="14" fillId="5" borderId="0" xfId="1" applyNumberFormat="1" applyFont="1" applyFill="1" applyBorder="1"/>
    <xf numFmtId="165" fontId="14" fillId="5" borderId="9" xfId="1" applyNumberFormat="1" applyFont="1" applyFill="1" applyBorder="1"/>
    <xf numFmtId="165" fontId="14" fillId="5" borderId="12" xfId="1" applyNumberFormat="1" applyFont="1" applyFill="1" applyBorder="1"/>
    <xf numFmtId="0" fontId="0" fillId="2" borderId="0" xfId="0" applyFill="1"/>
    <xf numFmtId="164" fontId="4" fillId="5" borderId="0" xfId="1" applyFont="1" applyFill="1" applyAlignment="1">
      <alignment horizontal="left"/>
    </xf>
    <xf numFmtId="164" fontId="14" fillId="5" borderId="0" xfId="1" applyFont="1" applyFill="1" applyBorder="1" applyAlignment="1">
      <alignment horizontal="left"/>
    </xf>
    <xf numFmtId="164" fontId="12" fillId="5" borderId="0" xfId="1" applyFont="1" applyFill="1" applyBorder="1" applyAlignment="1">
      <alignment horizontal="left"/>
    </xf>
    <xf numFmtId="164" fontId="3" fillId="4" borderId="6" xfId="1" applyFont="1" applyFill="1" applyBorder="1"/>
    <xf numFmtId="0" fontId="3" fillId="5" borderId="0" xfId="0" applyFont="1" applyFill="1" applyBorder="1" applyAlignment="1"/>
    <xf numFmtId="164" fontId="12" fillId="5" borderId="15" xfId="1" applyFont="1" applyFill="1" applyBorder="1" applyAlignment="1">
      <alignment horizontal="left"/>
    </xf>
    <xf numFmtId="164" fontId="3" fillId="5" borderId="5" xfId="1" applyFont="1" applyFill="1" applyBorder="1"/>
    <xf numFmtId="164" fontId="3" fillId="5" borderId="15" xfId="1" applyFont="1" applyFill="1" applyBorder="1" applyAlignment="1"/>
    <xf numFmtId="164" fontId="3" fillId="5" borderId="7" xfId="1" applyFont="1" applyFill="1" applyBorder="1"/>
    <xf numFmtId="164" fontId="3" fillId="5" borderId="14" xfId="1" applyFont="1" applyFill="1" applyBorder="1"/>
    <xf numFmtId="0" fontId="12" fillId="5" borderId="15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left" indent="1"/>
    </xf>
    <xf numFmtId="164" fontId="3" fillId="4" borderId="9" xfId="1" applyFont="1" applyFill="1" applyBorder="1"/>
    <xf numFmtId="0" fontId="4" fillId="5" borderId="6" xfId="0" applyFont="1" applyFill="1" applyBorder="1"/>
    <xf numFmtId="0" fontId="4" fillId="5" borderId="0" xfId="0" applyFont="1" applyFill="1" applyBorder="1"/>
    <xf numFmtId="0" fontId="13" fillId="5" borderId="9" xfId="0" applyFont="1" applyFill="1" applyBorder="1"/>
    <xf numFmtId="0" fontId="13" fillId="5" borderId="6" xfId="0" applyFont="1" applyFill="1" applyBorder="1"/>
    <xf numFmtId="0" fontId="13" fillId="5" borderId="12" xfId="0" applyFont="1" applyFill="1" applyBorder="1"/>
    <xf numFmtId="164" fontId="12" fillId="4" borderId="6" xfId="1" applyFont="1" applyFill="1" applyBorder="1"/>
    <xf numFmtId="164" fontId="12" fillId="4" borderId="9" xfId="1" applyFont="1" applyFill="1" applyBorder="1"/>
    <xf numFmtId="164" fontId="3" fillId="0" borderId="0" xfId="1" applyFont="1" applyBorder="1"/>
    <xf numFmtId="164" fontId="12" fillId="0" borderId="0" xfId="1" applyFont="1" applyBorder="1"/>
    <xf numFmtId="165" fontId="3" fillId="3" borderId="1" xfId="1" applyNumberFormat="1" applyFont="1" applyFill="1" applyBorder="1" applyAlignment="1">
      <alignment horizontal="center"/>
    </xf>
    <xf numFmtId="165" fontId="3" fillId="2" borderId="1" xfId="1" quotePrefix="1" applyNumberFormat="1" applyFont="1" applyFill="1" applyBorder="1" applyAlignment="1">
      <alignment horizontal="center"/>
    </xf>
    <xf numFmtId="164" fontId="3" fillId="5" borderId="0" xfId="1" applyFont="1" applyFill="1" applyBorder="1"/>
    <xf numFmtId="165" fontId="10" fillId="5" borderId="8" xfId="1" applyNumberFormat="1" applyFont="1" applyFill="1" applyBorder="1"/>
    <xf numFmtId="164" fontId="12" fillId="5" borderId="10" xfId="1" applyFont="1" applyFill="1" applyBorder="1"/>
    <xf numFmtId="165" fontId="10" fillId="5" borderId="9" xfId="1" applyNumberFormat="1" applyFont="1" applyFill="1" applyBorder="1"/>
    <xf numFmtId="164" fontId="2" fillId="5" borderId="15" xfId="1" applyFont="1" applyFill="1" applyBorder="1" applyAlignment="1">
      <alignment horizontal="left" indent="1"/>
    </xf>
    <xf numFmtId="164" fontId="3" fillId="5" borderId="15" xfId="1" applyFont="1" applyFill="1" applyBorder="1" applyAlignment="1">
      <alignment horizontal="left" indent="1"/>
    </xf>
    <xf numFmtId="164" fontId="2" fillId="4" borderId="7" xfId="1" applyFont="1" applyFill="1" applyBorder="1"/>
    <xf numFmtId="164" fontId="2" fillId="5" borderId="7" xfId="1" applyFont="1" applyFill="1" applyBorder="1"/>
    <xf numFmtId="164" fontId="2" fillId="5" borderId="14" xfId="1" applyFont="1" applyFill="1" applyBorder="1"/>
    <xf numFmtId="164" fontId="2" fillId="5" borderId="11" xfId="1" applyFont="1" applyFill="1" applyBorder="1"/>
    <xf numFmtId="164" fontId="2" fillId="5" borderId="13" xfId="1" applyFont="1" applyFill="1" applyBorder="1"/>
    <xf numFmtId="164" fontId="10" fillId="5" borderId="10" xfId="1" applyFont="1" applyFill="1" applyBorder="1"/>
    <xf numFmtId="164" fontId="2" fillId="5" borderId="10" xfId="1" applyFont="1" applyFill="1" applyBorder="1"/>
    <xf numFmtId="165" fontId="4" fillId="5" borderId="14" xfId="1" applyNumberFormat="1" applyFont="1" applyFill="1" applyBorder="1"/>
    <xf numFmtId="165" fontId="4" fillId="5" borderId="3" xfId="1" applyNumberFormat="1" applyFont="1" applyFill="1" applyBorder="1"/>
    <xf numFmtId="165" fontId="4" fillId="5" borderId="4" xfId="1" applyNumberFormat="1" applyFont="1" applyFill="1" applyBorder="1"/>
    <xf numFmtId="0" fontId="12" fillId="4" borderId="9" xfId="0" applyFont="1" applyFill="1" applyBorder="1" applyAlignment="1">
      <alignment horizontal="left"/>
    </xf>
    <xf numFmtId="164" fontId="3" fillId="5" borderId="6" xfId="1" applyFont="1" applyFill="1" applyBorder="1"/>
    <xf numFmtId="164" fontId="2" fillId="5" borderId="12" xfId="1" applyFont="1" applyFill="1" applyBorder="1"/>
    <xf numFmtId="164" fontId="10" fillId="5" borderId="9" xfId="1" applyFont="1" applyFill="1" applyBorder="1"/>
    <xf numFmtId="0" fontId="3" fillId="0" borderId="0" xfId="0" applyFont="1" applyFill="1" applyBorder="1"/>
    <xf numFmtId="165" fontId="4" fillId="0" borderId="0" xfId="1" applyNumberFormat="1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166" fontId="3" fillId="0" borderId="0" xfId="1" applyNumberFormat="1" applyFont="1" applyFill="1" applyBorder="1"/>
    <xf numFmtId="164" fontId="10" fillId="5" borderId="15" xfId="1" applyFont="1" applyFill="1" applyBorder="1" applyAlignment="1">
      <alignment horizontal="left" indent="1"/>
    </xf>
    <xf numFmtId="164" fontId="12" fillId="5" borderId="15" xfId="1" applyFont="1" applyFill="1" applyBorder="1" applyAlignment="1">
      <alignment horizontal="left" indent="1"/>
    </xf>
    <xf numFmtId="164" fontId="12" fillId="5" borderId="14" xfId="1" applyFont="1" applyFill="1" applyBorder="1"/>
    <xf numFmtId="164" fontId="10" fillId="5" borderId="7" xfId="1" applyFont="1" applyFill="1" applyBorder="1"/>
    <xf numFmtId="164" fontId="10" fillId="5" borderId="6" xfId="1" applyFont="1" applyFill="1" applyBorder="1"/>
    <xf numFmtId="165" fontId="10" fillId="5" borderId="3" xfId="1" applyNumberFormat="1" applyFont="1" applyFill="1" applyBorder="1"/>
    <xf numFmtId="164" fontId="12" fillId="5" borderId="5" xfId="1" applyFont="1" applyFill="1" applyBorder="1"/>
    <xf numFmtId="164" fontId="12" fillId="5" borderId="7" xfId="1" applyFont="1" applyFill="1" applyBorder="1"/>
    <xf numFmtId="165" fontId="10" fillId="5" borderId="5" xfId="1" applyNumberFormat="1" applyFont="1" applyFill="1" applyBorder="1"/>
    <xf numFmtId="164" fontId="12" fillId="5" borderId="0" xfId="1" applyFont="1" applyFill="1" applyBorder="1"/>
    <xf numFmtId="164" fontId="12" fillId="5" borderId="8" xfId="1" applyFont="1" applyFill="1" applyBorder="1"/>
    <xf numFmtId="0" fontId="12" fillId="4" borderId="6" xfId="0" applyFont="1" applyFill="1" applyBorder="1" applyAlignment="1">
      <alignment horizontal="left" indent="1"/>
    </xf>
    <xf numFmtId="0" fontId="12" fillId="4" borderId="9" xfId="0" applyFont="1" applyFill="1" applyBorder="1" applyAlignment="1">
      <alignment horizontal="left" indent="1"/>
    </xf>
    <xf numFmtId="165" fontId="10" fillId="5" borderId="6" xfId="1" applyNumberFormat="1" applyFont="1" applyFill="1" applyBorder="1"/>
    <xf numFmtId="164" fontId="12" fillId="4" borderId="5" xfId="1" applyFont="1" applyFill="1" applyBorder="1" applyAlignment="1">
      <alignment horizontal="left" indent="1"/>
    </xf>
    <xf numFmtId="164" fontId="10" fillId="4" borderId="6" xfId="1" applyFont="1" applyFill="1" applyBorder="1"/>
    <xf numFmtId="164" fontId="12" fillId="4" borderId="8" xfId="1" applyFont="1" applyFill="1" applyBorder="1" applyAlignment="1">
      <alignment horizontal="left" indent="1"/>
    </xf>
    <xf numFmtId="164" fontId="10" fillId="4" borderId="9" xfId="1" applyFont="1" applyFill="1" applyBorder="1"/>
    <xf numFmtId="165" fontId="12" fillId="5" borderId="7" xfId="1" applyNumberFormat="1" applyFont="1" applyFill="1" applyBorder="1"/>
    <xf numFmtId="165" fontId="12" fillId="5" borderId="14" xfId="1" applyNumberFormat="1" applyFont="1" applyFill="1" applyBorder="1"/>
    <xf numFmtId="165" fontId="12" fillId="0" borderId="0" xfId="1" applyNumberFormat="1" applyFont="1" applyBorder="1"/>
    <xf numFmtId="164" fontId="12" fillId="5" borderId="6" xfId="1" applyFont="1" applyFill="1" applyBorder="1"/>
    <xf numFmtId="0" fontId="12" fillId="4" borderId="0" xfId="0" applyFont="1" applyFill="1" applyBorder="1" applyAlignment="1">
      <alignment horizontal="left" indent="1"/>
    </xf>
    <xf numFmtId="0" fontId="12" fillId="4" borderId="6" xfId="0" applyFont="1" applyFill="1" applyBorder="1" applyAlignment="1"/>
    <xf numFmtId="165" fontId="10" fillId="5" borderId="0" xfId="1" applyNumberFormat="1" applyFont="1" applyFill="1" applyBorder="1"/>
    <xf numFmtId="0" fontId="3" fillId="0" borderId="9" xfId="0" applyFont="1" applyBorder="1"/>
    <xf numFmtId="0" fontId="3" fillId="2" borderId="0" xfId="0" applyFont="1" applyFill="1" applyBorder="1"/>
    <xf numFmtId="0" fontId="3" fillId="2" borderId="9" xfId="0" applyFont="1" applyFill="1" applyBorder="1"/>
    <xf numFmtId="0" fontId="3" fillId="2" borderId="0" xfId="0" applyFont="1" applyFill="1"/>
    <xf numFmtId="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167" fontId="3" fillId="2" borderId="0" xfId="1" quotePrefix="1" applyNumberFormat="1" applyFont="1" applyFill="1" applyAlignment="1">
      <alignment horizontal="left"/>
    </xf>
    <xf numFmtId="164" fontId="3" fillId="4" borderId="0" xfId="1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 applyBorder="1"/>
    <xf numFmtId="0" fontId="3" fillId="0" borderId="9" xfId="0" applyFont="1" applyBorder="1" applyAlignment="1">
      <alignment horizontal="right"/>
    </xf>
    <xf numFmtId="168" fontId="4" fillId="4" borderId="0" xfId="1" applyNumberFormat="1" applyFont="1" applyFill="1" applyBorder="1" applyAlignment="1"/>
    <xf numFmtId="0" fontId="3" fillId="5" borderId="15" xfId="0" applyFont="1" applyFill="1" applyBorder="1" applyAlignment="1"/>
    <xf numFmtId="0" fontId="3" fillId="5" borderId="14" xfId="0" applyFont="1" applyFill="1" applyBorder="1" applyAlignment="1"/>
    <xf numFmtId="165" fontId="3" fillId="3" borderId="0" xfId="1" applyNumberFormat="1" applyFont="1" applyFill="1"/>
    <xf numFmtId="0" fontId="3" fillId="14" borderId="0" xfId="0" applyFont="1" applyFill="1"/>
    <xf numFmtId="168" fontId="4" fillId="3" borderId="0" xfId="1" applyNumberFormat="1" applyFont="1" applyFill="1" applyBorder="1" applyAlignment="1"/>
    <xf numFmtId="9" fontId="3" fillId="0" borderId="0" xfId="2" applyFont="1"/>
    <xf numFmtId="164" fontId="3" fillId="2" borderId="0" xfId="1" applyFont="1" applyFill="1"/>
    <xf numFmtId="164" fontId="3" fillId="16" borderId="0" xfId="1" applyFont="1" applyFill="1"/>
    <xf numFmtId="164" fontId="3" fillId="17" borderId="0" xfId="1" applyFont="1" applyFill="1"/>
    <xf numFmtId="164" fontId="3" fillId="3" borderId="0" xfId="0" applyNumberFormat="1" applyFont="1" applyFill="1"/>
    <xf numFmtId="165" fontId="14" fillId="5" borderId="0" xfId="1" applyNumberFormat="1" applyFont="1" applyFill="1" applyBorder="1" applyAlignment="1"/>
    <xf numFmtId="0" fontId="10" fillId="5" borderId="0" xfId="0" applyFont="1" applyFill="1" applyBorder="1"/>
    <xf numFmtId="165" fontId="14" fillId="5" borderId="0" xfId="1" applyNumberFormat="1" applyFont="1" applyFill="1" applyBorder="1" applyAlignment="1">
      <alignment horizontal="left"/>
    </xf>
    <xf numFmtId="165" fontId="12" fillId="5" borderId="0" xfId="1" applyNumberFormat="1" applyFont="1" applyFill="1" applyBorder="1" applyAlignment="1">
      <alignment horizontal="left"/>
    </xf>
    <xf numFmtId="165" fontId="3" fillId="0" borderId="13" xfId="1" applyNumberFormat="1" applyFont="1" applyBorder="1"/>
    <xf numFmtId="165" fontId="7" fillId="0" borderId="0" xfId="1" applyNumberFormat="1" applyFont="1" applyBorder="1"/>
    <xf numFmtId="164" fontId="2" fillId="0" borderId="0" xfId="1" applyFont="1" applyFill="1" applyBorder="1"/>
    <xf numFmtId="164" fontId="3" fillId="0" borderId="0" xfId="1" applyFont="1" applyFill="1" applyBorder="1"/>
    <xf numFmtId="164" fontId="2" fillId="0" borderId="0" xfId="1" applyFont="1" applyFill="1" applyBorder="1" applyAlignment="1">
      <alignment horizontal="left" indent="1"/>
    </xf>
    <xf numFmtId="164" fontId="3" fillId="0" borderId="0" xfId="1" applyFont="1" applyFill="1" applyBorder="1" applyAlignment="1">
      <alignment horizontal="left" indent="1"/>
    </xf>
    <xf numFmtId="165" fontId="4" fillId="14" borderId="0" xfId="1" applyNumberFormat="1" applyFont="1" applyFill="1" applyBorder="1" applyAlignment="1"/>
    <xf numFmtId="165" fontId="3" fillId="14" borderId="0" xfId="1" applyNumberFormat="1" applyFont="1" applyFill="1"/>
    <xf numFmtId="0" fontId="3" fillId="18" borderId="0" xfId="0" applyFont="1" applyFill="1"/>
    <xf numFmtId="0" fontId="7" fillId="18" borderId="9" xfId="0" applyFont="1" applyFill="1" applyBorder="1" applyAlignment="1">
      <alignment horizontal="left"/>
    </xf>
    <xf numFmtId="0" fontId="7" fillId="18" borderId="9" xfId="0" applyFont="1" applyFill="1" applyBorder="1" applyAlignment="1">
      <alignment horizontal="center"/>
    </xf>
    <xf numFmtId="0" fontId="3" fillId="19" borderId="0" xfId="0" applyFont="1" applyFill="1"/>
    <xf numFmtId="0" fontId="7" fillId="19" borderId="9" xfId="0" applyFont="1" applyFill="1" applyBorder="1" applyAlignment="1">
      <alignment horizontal="left"/>
    </xf>
    <xf numFmtId="0" fontId="7" fillId="19" borderId="9" xfId="0" applyFont="1" applyFill="1" applyBorder="1" applyAlignment="1">
      <alignment horizontal="center"/>
    </xf>
    <xf numFmtId="0" fontId="3" fillId="9" borderId="0" xfId="0" applyFont="1" applyFill="1"/>
    <xf numFmtId="0" fontId="7" fillId="9" borderId="9" xfId="0" applyFont="1" applyFill="1" applyBorder="1" applyAlignment="1">
      <alignment horizontal="left"/>
    </xf>
    <xf numFmtId="0" fontId="7" fillId="9" borderId="9" xfId="0" applyFont="1" applyFill="1" applyBorder="1" applyAlignment="1">
      <alignment horizontal="center"/>
    </xf>
    <xf numFmtId="165" fontId="4" fillId="9" borderId="9" xfId="1" applyNumberFormat="1" applyFont="1" applyFill="1" applyBorder="1" applyAlignment="1">
      <alignment horizontal="left"/>
    </xf>
    <xf numFmtId="165" fontId="4" fillId="9" borderId="9" xfId="1" applyNumberFormat="1" applyFont="1" applyFill="1" applyBorder="1" applyAlignment="1">
      <alignment horizontal="center"/>
    </xf>
    <xf numFmtId="0" fontId="3" fillId="9" borderId="9" xfId="0" applyFont="1" applyFill="1" applyBorder="1"/>
    <xf numFmtId="0" fontId="4" fillId="9" borderId="0" xfId="1" applyNumberFormat="1" applyFont="1" applyFill="1" applyBorder="1" applyAlignment="1"/>
    <xf numFmtId="168" fontId="4" fillId="9" borderId="0" xfId="1" applyNumberFormat="1" applyFont="1" applyFill="1" applyBorder="1" applyAlignment="1"/>
    <xf numFmtId="165" fontId="4" fillId="19" borderId="9" xfId="1" applyNumberFormat="1" applyFont="1" applyFill="1" applyBorder="1" applyAlignment="1">
      <alignment horizontal="left"/>
    </xf>
    <xf numFmtId="165" fontId="4" fillId="19" borderId="9" xfId="1" applyNumberFormat="1" applyFont="1" applyFill="1" applyBorder="1" applyAlignment="1">
      <alignment horizontal="center"/>
    </xf>
    <xf numFmtId="0" fontId="3" fillId="19" borderId="9" xfId="0" applyFont="1" applyFill="1" applyBorder="1"/>
    <xf numFmtId="0" fontId="4" fillId="19" borderId="0" xfId="1" applyNumberFormat="1" applyFont="1" applyFill="1" applyBorder="1" applyAlignment="1"/>
    <xf numFmtId="168" fontId="4" fillId="19" borderId="0" xfId="1" applyNumberFormat="1" applyFont="1" applyFill="1" applyBorder="1" applyAlignment="1"/>
    <xf numFmtId="165" fontId="4" fillId="16" borderId="9" xfId="1" applyNumberFormat="1" applyFont="1" applyFill="1" applyBorder="1" applyAlignment="1">
      <alignment horizontal="left"/>
    </xf>
    <xf numFmtId="165" fontId="4" fillId="16" borderId="9" xfId="1" applyNumberFormat="1" applyFont="1" applyFill="1" applyBorder="1" applyAlignment="1">
      <alignment horizontal="center"/>
    </xf>
    <xf numFmtId="0" fontId="0" fillId="16" borderId="9" xfId="0" applyFill="1" applyBorder="1"/>
    <xf numFmtId="165" fontId="4" fillId="20" borderId="9" xfId="1" applyNumberFormat="1" applyFont="1" applyFill="1" applyBorder="1" applyAlignment="1">
      <alignment horizontal="left"/>
    </xf>
    <xf numFmtId="165" fontId="4" fillId="20" borderId="9" xfId="1" applyNumberFormat="1" applyFont="1" applyFill="1" applyBorder="1" applyAlignment="1">
      <alignment horizontal="center"/>
    </xf>
    <xf numFmtId="0" fontId="0" fillId="20" borderId="9" xfId="0" applyFill="1" applyBorder="1"/>
    <xf numFmtId="165" fontId="4" fillId="2" borderId="9" xfId="1" applyNumberFormat="1" applyFont="1" applyFill="1" applyBorder="1" applyAlignment="1">
      <alignment horizontal="left"/>
    </xf>
    <xf numFmtId="165" fontId="4" fillId="2" borderId="9" xfId="1" applyNumberFormat="1" applyFont="1" applyFill="1" applyBorder="1" applyAlignment="1">
      <alignment horizontal="center"/>
    </xf>
    <xf numFmtId="0" fontId="0" fillId="2" borderId="9" xfId="0" applyFill="1" applyBorder="1"/>
    <xf numFmtId="165" fontId="4" fillId="21" borderId="9" xfId="1" applyNumberFormat="1" applyFont="1" applyFill="1" applyBorder="1" applyAlignment="1">
      <alignment horizontal="left"/>
    </xf>
    <xf numFmtId="165" fontId="4" fillId="21" borderId="9" xfId="1" applyNumberFormat="1" applyFont="1" applyFill="1" applyBorder="1" applyAlignment="1">
      <alignment horizontal="center"/>
    </xf>
    <xf numFmtId="0" fontId="0" fillId="21" borderId="9" xfId="0" applyFill="1" applyBorder="1"/>
    <xf numFmtId="0" fontId="4" fillId="22" borderId="9" xfId="0" applyFont="1" applyFill="1" applyBorder="1"/>
    <xf numFmtId="0" fontId="0" fillId="22" borderId="9" xfId="0" applyFill="1" applyBorder="1"/>
    <xf numFmtId="165" fontId="4" fillId="23" borderId="9" xfId="1" applyNumberFormat="1" applyFont="1" applyFill="1" applyBorder="1" applyAlignment="1">
      <alignment horizontal="left"/>
    </xf>
    <xf numFmtId="165" fontId="4" fillId="23" borderId="9" xfId="1" applyNumberFormat="1" applyFont="1" applyFill="1" applyBorder="1" applyAlignment="1">
      <alignment horizontal="center"/>
    </xf>
    <xf numFmtId="0" fontId="0" fillId="23" borderId="9" xfId="0" applyFill="1" applyBorder="1"/>
    <xf numFmtId="165" fontId="3" fillId="2" borderId="0" xfId="1" applyNumberFormat="1" applyFont="1" applyFill="1"/>
    <xf numFmtId="165" fontId="4" fillId="16" borderId="0" xfId="1" applyNumberFormat="1" applyFont="1" applyFill="1" applyBorder="1" applyAlignment="1"/>
    <xf numFmtId="165" fontId="4" fillId="20" borderId="0" xfId="1" applyNumberFormat="1" applyFont="1" applyFill="1" applyBorder="1" applyAlignment="1"/>
    <xf numFmtId="165" fontId="4" fillId="2" borderId="0" xfId="1" applyNumberFormat="1" applyFont="1" applyFill="1" applyBorder="1" applyAlignment="1"/>
    <xf numFmtId="165" fontId="4" fillId="21" borderId="0" xfId="1" applyNumberFormat="1" applyFont="1" applyFill="1" applyBorder="1" applyAlignment="1"/>
    <xf numFmtId="0" fontId="0" fillId="22" borderId="0" xfId="0" applyFill="1"/>
    <xf numFmtId="165" fontId="4" fillId="23" borderId="0" xfId="1" applyNumberFormat="1" applyFont="1" applyFill="1" applyBorder="1" applyAlignment="1"/>
    <xf numFmtId="165" fontId="4" fillId="24" borderId="9" xfId="1" applyNumberFormat="1" applyFont="1" applyFill="1" applyBorder="1" applyAlignment="1">
      <alignment horizontal="center"/>
    </xf>
    <xf numFmtId="0" fontId="3" fillId="24" borderId="0" xfId="0" applyFont="1" applyFill="1"/>
    <xf numFmtId="0" fontId="3" fillId="20" borderId="0" xfId="0" applyFont="1" applyFill="1"/>
    <xf numFmtId="165" fontId="3" fillId="21" borderId="0" xfId="1" applyNumberFormat="1" applyFont="1" applyFill="1"/>
    <xf numFmtId="0" fontId="3" fillId="21" borderId="0" xfId="0" applyFont="1" applyFill="1"/>
    <xf numFmtId="0" fontId="3" fillId="22" borderId="0" xfId="0" applyFont="1" applyFill="1"/>
    <xf numFmtId="0" fontId="3" fillId="23" borderId="0" xfId="0" applyFont="1" applyFill="1"/>
    <xf numFmtId="165" fontId="4" fillId="4" borderId="9" xfId="1" applyNumberFormat="1" applyFont="1" applyFill="1" applyBorder="1" applyAlignment="1"/>
    <xf numFmtId="165" fontId="3" fillId="4" borderId="9" xfId="1" applyNumberFormat="1" applyFont="1" applyFill="1" applyBorder="1"/>
    <xf numFmtId="165" fontId="4" fillId="3" borderId="9" xfId="1" applyNumberFormat="1" applyFont="1" applyFill="1" applyBorder="1" applyAlignment="1"/>
    <xf numFmtId="165" fontId="3" fillId="3" borderId="9" xfId="1" applyNumberFormat="1" applyFont="1" applyFill="1" applyBorder="1"/>
    <xf numFmtId="0" fontId="3" fillId="21" borderId="9" xfId="0" applyFont="1" applyFill="1" applyBorder="1"/>
    <xf numFmtId="0" fontId="4" fillId="21" borderId="0" xfId="1" applyNumberFormat="1" applyFont="1" applyFill="1" applyBorder="1" applyAlignment="1"/>
    <xf numFmtId="165" fontId="4" fillId="22" borderId="9" xfId="1" applyNumberFormat="1" applyFont="1" applyFill="1" applyBorder="1" applyAlignment="1">
      <alignment horizontal="left"/>
    </xf>
    <xf numFmtId="165" fontId="4" fillId="22" borderId="9" xfId="1" applyNumberFormat="1" applyFont="1" applyFill="1" applyBorder="1" applyAlignment="1">
      <alignment horizontal="center"/>
    </xf>
    <xf numFmtId="0" fontId="3" fillId="22" borderId="9" xfId="0" applyFont="1" applyFill="1" applyBorder="1"/>
    <xf numFmtId="0" fontId="4" fillId="22" borderId="0" xfId="1" applyNumberFormat="1" applyFont="1" applyFill="1" applyBorder="1" applyAlignment="1"/>
    <xf numFmtId="165" fontId="4" fillId="22" borderId="0" xfId="1" applyNumberFormat="1" applyFont="1" applyFill="1" applyBorder="1" applyAlignment="1"/>
    <xf numFmtId="0" fontId="4" fillId="2" borderId="0" xfId="1" applyNumberFormat="1" applyFont="1" applyFill="1" applyBorder="1" applyAlignment="1"/>
    <xf numFmtId="0" fontId="3" fillId="23" borderId="9" xfId="0" applyFont="1" applyFill="1" applyBorder="1"/>
    <xf numFmtId="0" fontId="4" fillId="23" borderId="0" xfId="1" applyNumberFormat="1" applyFont="1" applyFill="1" applyBorder="1" applyAlignment="1"/>
    <xf numFmtId="0" fontId="4" fillId="16" borderId="0" xfId="1" applyNumberFormat="1" applyFont="1" applyFill="1" applyBorder="1" applyAlignment="1"/>
    <xf numFmtId="0" fontId="0" fillId="16" borderId="0" xfId="0" applyFill="1"/>
    <xf numFmtId="0" fontId="4" fillId="20" borderId="0" xfId="1" applyNumberFormat="1" applyFont="1" applyFill="1" applyBorder="1" applyAlignment="1"/>
    <xf numFmtId="0" fontId="0" fillId="20" borderId="0" xfId="0" applyFill="1"/>
    <xf numFmtId="0" fontId="0" fillId="21" borderId="0" xfId="0" applyFill="1"/>
    <xf numFmtId="0" fontId="0" fillId="23" borderId="0" xfId="0" applyFill="1"/>
    <xf numFmtId="164" fontId="0" fillId="0" borderId="0" xfId="0" applyNumberFormat="1"/>
    <xf numFmtId="0" fontId="0" fillId="3" borderId="9" xfId="0" applyFill="1" applyBorder="1"/>
    <xf numFmtId="0" fontId="4" fillId="3" borderId="9" xfId="0" applyFont="1" applyFill="1" applyBorder="1"/>
    <xf numFmtId="0" fontId="0" fillId="9" borderId="9" xfId="0" applyFill="1" applyBorder="1"/>
    <xf numFmtId="0" fontId="0" fillId="4" borderId="9" xfId="0" applyFill="1" applyBorder="1"/>
    <xf numFmtId="164" fontId="3" fillId="25" borderId="0" xfId="1" applyFont="1" applyFill="1"/>
    <xf numFmtId="164" fontId="3" fillId="26" borderId="0" xfId="1" applyFont="1" applyFill="1"/>
    <xf numFmtId="164" fontId="3" fillId="9" borderId="12" xfId="1" applyFont="1" applyFill="1" applyBorder="1"/>
    <xf numFmtId="164" fontId="3" fillId="4" borderId="12" xfId="1" applyFont="1" applyFill="1" applyBorder="1"/>
    <xf numFmtId="164" fontId="3" fillId="3" borderId="12" xfId="1" applyFont="1" applyFill="1" applyBorder="1"/>
    <xf numFmtId="164" fontId="3" fillId="21" borderId="0" xfId="1" applyFont="1" applyFill="1"/>
    <xf numFmtId="165" fontId="4" fillId="21" borderId="12" xfId="1" applyNumberFormat="1" applyFont="1" applyFill="1" applyBorder="1" applyAlignment="1">
      <alignment horizontal="left"/>
    </xf>
    <xf numFmtId="165" fontId="4" fillId="21" borderId="12" xfId="1" applyNumberFormat="1" applyFont="1" applyFill="1" applyBorder="1" applyAlignment="1">
      <alignment horizontal="center"/>
    </xf>
    <xf numFmtId="164" fontId="3" fillId="21" borderId="12" xfId="1" applyFont="1" applyFill="1" applyBorder="1"/>
    <xf numFmtId="168" fontId="4" fillId="21" borderId="0" xfId="1" applyNumberFormat="1" applyFont="1" applyFill="1" applyBorder="1" applyAlignment="1"/>
    <xf numFmtId="165" fontId="4" fillId="0" borderId="0" xfId="1" quotePrefix="1" applyNumberFormat="1" applyFont="1" applyFill="1" applyBorder="1" applyAlignment="1"/>
    <xf numFmtId="169" fontId="4" fillId="2" borderId="0" xfId="2" applyNumberFormat="1" applyFont="1" applyFill="1" applyBorder="1" applyAlignment="1"/>
    <xf numFmtId="9" fontId="3" fillId="0" borderId="6" xfId="2" applyFont="1" applyBorder="1"/>
    <xf numFmtId="165" fontId="3" fillId="4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5" fontId="3" fillId="7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9" borderId="4" xfId="1" applyNumberFormat="1" applyFont="1" applyFill="1" applyBorder="1" applyAlignment="1">
      <alignment horizontal="center"/>
    </xf>
    <xf numFmtId="165" fontId="3" fillId="7" borderId="4" xfId="1" applyNumberFormat="1" applyFont="1" applyFill="1" applyBorder="1" applyAlignment="1">
      <alignment horizontal="center"/>
    </xf>
    <xf numFmtId="165" fontId="2" fillId="6" borderId="1" xfId="1" applyNumberFormat="1" applyFont="1" applyFill="1" applyBorder="1"/>
    <xf numFmtId="165" fontId="2" fillId="10" borderId="1" xfId="1" applyNumberFormat="1" applyFont="1" applyFill="1" applyBorder="1"/>
    <xf numFmtId="165" fontId="2" fillId="8" borderId="1" xfId="1" applyNumberFormat="1" applyFont="1" applyFill="1" applyBorder="1"/>
    <xf numFmtId="165" fontId="3" fillId="4" borderId="7" xfId="1" applyNumberFormat="1" applyFont="1" applyFill="1" applyBorder="1" applyAlignment="1">
      <alignment horizontal="center"/>
    </xf>
    <xf numFmtId="165" fontId="3" fillId="4" borderId="10" xfId="1" applyNumberFormat="1" applyFont="1" applyFill="1" applyBorder="1" applyAlignment="1">
      <alignment horizontal="center"/>
    </xf>
    <xf numFmtId="165" fontId="12" fillId="4" borderId="2" xfId="1" applyNumberFormat="1" applyFont="1" applyFill="1" applyBorder="1" applyAlignment="1">
      <alignment horizontal="center"/>
    </xf>
    <xf numFmtId="165" fontId="12" fillId="3" borderId="2" xfId="1" applyNumberFormat="1" applyFont="1" applyFill="1" applyBorder="1" applyAlignment="1">
      <alignment horizontal="center"/>
    </xf>
    <xf numFmtId="165" fontId="12" fillId="9" borderId="2" xfId="1" applyNumberFormat="1" applyFont="1" applyFill="1" applyBorder="1" applyAlignment="1">
      <alignment horizontal="center"/>
    </xf>
    <xf numFmtId="165" fontId="12" fillId="7" borderId="2" xfId="1" applyNumberFormat="1" applyFont="1" applyFill="1" applyBorder="1" applyAlignment="1">
      <alignment horizontal="center"/>
    </xf>
    <xf numFmtId="165" fontId="12" fillId="4" borderId="4" xfId="1" applyNumberFormat="1" applyFont="1" applyFill="1" applyBorder="1" applyAlignment="1">
      <alignment horizontal="center"/>
    </xf>
    <xf numFmtId="165" fontId="12" fillId="3" borderId="4" xfId="1" applyNumberFormat="1" applyFont="1" applyFill="1" applyBorder="1" applyAlignment="1">
      <alignment horizontal="center"/>
    </xf>
    <xf numFmtId="165" fontId="12" fillId="9" borderId="4" xfId="1" applyNumberFormat="1" applyFont="1" applyFill="1" applyBorder="1" applyAlignment="1">
      <alignment horizontal="center"/>
    </xf>
    <xf numFmtId="165" fontId="12" fillId="7" borderId="4" xfId="1" applyNumberFormat="1" applyFont="1" applyFill="1" applyBorder="1" applyAlignment="1">
      <alignment horizontal="center"/>
    </xf>
    <xf numFmtId="165" fontId="12" fillId="5" borderId="12" xfId="1" applyNumberFormat="1" applyFont="1" applyFill="1" applyBorder="1"/>
    <xf numFmtId="0" fontId="12" fillId="5" borderId="12" xfId="0" applyFont="1" applyFill="1" applyBorder="1"/>
    <xf numFmtId="0" fontId="12" fillId="5" borderId="13" xfId="0" applyFont="1" applyFill="1" applyBorder="1"/>
    <xf numFmtId="165" fontId="10" fillId="5" borderId="1" xfId="1" applyNumberFormat="1" applyFont="1" applyFill="1" applyBorder="1"/>
    <xf numFmtId="165" fontId="12" fillId="6" borderId="1" xfId="1" applyNumberFormat="1" applyFont="1" applyFill="1" applyBorder="1"/>
    <xf numFmtId="165" fontId="12" fillId="10" borderId="1" xfId="1" applyNumberFormat="1" applyFont="1" applyFill="1" applyBorder="1"/>
    <xf numFmtId="165" fontId="12" fillId="8" borderId="1" xfId="1" applyNumberFormat="1" applyFont="1" applyFill="1" applyBorder="1"/>
    <xf numFmtId="164" fontId="10" fillId="5" borderId="11" xfId="1" applyFont="1" applyFill="1" applyBorder="1"/>
    <xf numFmtId="165" fontId="10" fillId="6" borderId="4" xfId="1" applyNumberFormat="1" applyFont="1" applyFill="1" applyBorder="1"/>
    <xf numFmtId="165" fontId="10" fillId="10" borderId="4" xfId="1" applyNumberFormat="1" applyFont="1" applyFill="1" applyBorder="1"/>
    <xf numFmtId="165" fontId="10" fillId="8" borderId="4" xfId="1" applyNumberFormat="1" applyFont="1" applyFill="1" applyBorder="1"/>
    <xf numFmtId="165" fontId="12" fillId="4" borderId="7" xfId="1" applyNumberFormat="1" applyFont="1" applyFill="1" applyBorder="1" applyAlignment="1">
      <alignment horizontal="center"/>
    </xf>
    <xf numFmtId="165" fontId="12" fillId="4" borderId="10" xfId="1" applyNumberFormat="1" applyFont="1" applyFill="1" applyBorder="1" applyAlignment="1">
      <alignment horizontal="center"/>
    </xf>
    <xf numFmtId="9" fontId="3" fillId="0" borderId="0" xfId="1" applyNumberFormat="1" applyFont="1"/>
    <xf numFmtId="164" fontId="3" fillId="0" borderId="12" xfId="1" applyFont="1" applyFill="1" applyBorder="1"/>
    <xf numFmtId="165" fontId="13" fillId="0" borderId="12" xfId="1" applyNumberFormat="1" applyFont="1" applyFill="1" applyBorder="1"/>
    <xf numFmtId="165" fontId="14" fillId="0" borderId="12" xfId="1" applyNumberFormat="1" applyFont="1" applyFill="1" applyBorder="1"/>
    <xf numFmtId="0" fontId="4" fillId="0" borderId="12" xfId="0" applyFont="1" applyFill="1" applyBorder="1"/>
    <xf numFmtId="165" fontId="3" fillId="0" borderId="12" xfId="1" applyNumberFormat="1" applyFont="1" applyFill="1" applyBorder="1"/>
    <xf numFmtId="164" fontId="12" fillId="0" borderId="12" xfId="1" applyFont="1" applyFill="1" applyBorder="1"/>
    <xf numFmtId="165" fontId="12" fillId="0" borderId="12" xfId="1" applyNumberFormat="1" applyFont="1" applyFill="1" applyBorder="1"/>
    <xf numFmtId="0" fontId="12" fillId="0" borderId="12" xfId="0" applyFont="1" applyFill="1" applyBorder="1"/>
    <xf numFmtId="165" fontId="3" fillId="2" borderId="2" xfId="1" applyNumberFormat="1" applyFont="1" applyFill="1" applyBorder="1" applyProtection="1">
      <protection locked="0"/>
    </xf>
    <xf numFmtId="165" fontId="3" fillId="2" borderId="1" xfId="1" applyNumberFormat="1" applyFont="1" applyFill="1" applyBorder="1" applyProtection="1">
      <protection locked="0"/>
    </xf>
    <xf numFmtId="164" fontId="3" fillId="5" borderId="14" xfId="1" applyFont="1" applyFill="1" applyBorder="1" applyProtection="1">
      <protection locked="0"/>
    </xf>
    <xf numFmtId="165" fontId="13" fillId="5" borderId="15" xfId="1" applyNumberFormat="1" applyFont="1" applyFill="1" applyBorder="1" applyProtection="1">
      <protection locked="0"/>
    </xf>
    <xf numFmtId="165" fontId="14" fillId="5" borderId="0" xfId="1" applyNumberFormat="1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165" fontId="13" fillId="5" borderId="0" xfId="1" applyNumberFormat="1" applyFont="1" applyFill="1" applyBorder="1" applyProtection="1">
      <protection locked="0"/>
    </xf>
    <xf numFmtId="165" fontId="13" fillId="5" borderId="3" xfId="1" applyNumberFormat="1" applyFont="1" applyFill="1" applyBorder="1" applyProtection="1">
      <protection locked="0"/>
    </xf>
    <xf numFmtId="165" fontId="13" fillId="5" borderId="9" xfId="1" applyNumberFormat="1" applyFont="1" applyFill="1" applyBorder="1" applyProtection="1">
      <protection locked="0"/>
    </xf>
    <xf numFmtId="165" fontId="13" fillId="5" borderId="8" xfId="1" applyNumberFormat="1" applyFont="1" applyFill="1" applyBorder="1" applyProtection="1">
      <protection locked="0"/>
    </xf>
    <xf numFmtId="165" fontId="14" fillId="5" borderId="9" xfId="1" applyNumberFormat="1" applyFont="1" applyFill="1" applyBorder="1" applyProtection="1">
      <protection locked="0"/>
    </xf>
    <xf numFmtId="0" fontId="13" fillId="5" borderId="9" xfId="0" applyFont="1" applyFill="1" applyBorder="1" applyProtection="1">
      <protection locked="0"/>
    </xf>
    <xf numFmtId="164" fontId="3" fillId="0" borderId="0" xfId="1" applyFont="1" applyBorder="1" applyProtection="1">
      <protection locked="0"/>
    </xf>
    <xf numFmtId="0" fontId="3" fillId="0" borderId="0" xfId="0" applyFont="1" applyProtection="1">
      <protection locked="0"/>
    </xf>
    <xf numFmtId="165" fontId="3" fillId="0" borderId="0" xfId="1" applyNumberFormat="1" applyFont="1" applyProtection="1">
      <protection locked="0"/>
    </xf>
    <xf numFmtId="164" fontId="3" fillId="0" borderId="0" xfId="1" applyFont="1" applyProtection="1">
      <protection locked="0"/>
    </xf>
    <xf numFmtId="164" fontId="2" fillId="4" borderId="7" xfId="1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left" indent="1"/>
      <protection locked="0"/>
    </xf>
    <xf numFmtId="0" fontId="3" fillId="4" borderId="6" xfId="0" applyFont="1" applyFill="1" applyBorder="1" applyAlignment="1" applyProtection="1">
      <alignment horizontal="left" indent="1"/>
      <protection locked="0"/>
    </xf>
    <xf numFmtId="0" fontId="3" fillId="4" borderId="6" xfId="0" applyFont="1" applyFill="1" applyBorder="1" applyProtection="1">
      <protection locked="0"/>
    </xf>
    <xf numFmtId="164" fontId="3" fillId="4" borderId="6" xfId="1" applyFont="1" applyFill="1" applyBorder="1" applyProtection="1">
      <protection locked="0"/>
    </xf>
    <xf numFmtId="164" fontId="3" fillId="4" borderId="10" xfId="1" applyFont="1" applyFill="1" applyBorder="1" applyProtection="1">
      <protection locked="0"/>
    </xf>
    <xf numFmtId="0" fontId="4" fillId="4" borderId="8" xfId="0" applyFont="1" applyFill="1" applyBorder="1" applyAlignment="1" applyProtection="1">
      <alignment horizontal="left" indent="1"/>
      <protection locked="0"/>
    </xf>
    <xf numFmtId="0" fontId="4" fillId="4" borderId="9" xfId="0" applyFont="1" applyFill="1" applyBorder="1" applyAlignment="1" applyProtection="1">
      <alignment horizontal="left" indent="1"/>
      <protection locked="0"/>
    </xf>
    <xf numFmtId="0" fontId="12" fillId="4" borderId="9" xfId="0" applyFont="1" applyFill="1" applyBorder="1" applyAlignment="1" applyProtection="1">
      <alignment horizontal="center"/>
      <protection locked="0"/>
    </xf>
    <xf numFmtId="164" fontId="3" fillId="4" borderId="9" xfId="1" applyFont="1" applyFill="1" applyBorder="1" applyProtection="1">
      <protection locked="0"/>
    </xf>
    <xf numFmtId="164" fontId="2" fillId="5" borderId="7" xfId="1" applyFont="1" applyFill="1" applyBorder="1" applyProtection="1">
      <protection locked="0"/>
    </xf>
    <xf numFmtId="165" fontId="13" fillId="5" borderId="5" xfId="1" applyNumberFormat="1" applyFont="1" applyFill="1" applyBorder="1" applyProtection="1">
      <protection locked="0"/>
    </xf>
    <xf numFmtId="165" fontId="13" fillId="5" borderId="6" xfId="1" applyNumberFormat="1" applyFont="1" applyFill="1" applyBorder="1" applyProtection="1">
      <protection locked="0"/>
    </xf>
    <xf numFmtId="165" fontId="14" fillId="5" borderId="6" xfId="1" applyNumberFormat="1" applyFont="1" applyFill="1" applyBorder="1" applyProtection="1">
      <protection locked="0"/>
    </xf>
    <xf numFmtId="0" fontId="13" fillId="5" borderId="6" xfId="0" applyFont="1" applyFill="1" applyBorder="1" applyProtection="1">
      <protection locked="0"/>
    </xf>
    <xf numFmtId="0" fontId="13" fillId="5" borderId="7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5" borderId="14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14" xfId="0" applyFont="1" applyFill="1" applyBorder="1" applyProtection="1">
      <protection locked="0"/>
    </xf>
    <xf numFmtId="164" fontId="2" fillId="5" borderId="14" xfId="1" applyFont="1" applyFill="1" applyBorder="1" applyProtection="1">
      <protection locked="0"/>
    </xf>
    <xf numFmtId="164" fontId="3" fillId="5" borderId="10" xfId="1" applyFont="1" applyFill="1" applyBorder="1" applyProtection="1">
      <protection locked="0"/>
    </xf>
    <xf numFmtId="0" fontId="13" fillId="5" borderId="10" xfId="0" applyFont="1" applyFill="1" applyBorder="1" applyProtection="1">
      <protection locked="0"/>
    </xf>
    <xf numFmtId="165" fontId="3" fillId="0" borderId="0" xfId="1" applyNumberFormat="1" applyFont="1" applyBorder="1" applyProtection="1">
      <protection locked="0"/>
    </xf>
    <xf numFmtId="165" fontId="12" fillId="0" borderId="0" xfId="1" applyNumberFormat="1" applyFont="1" applyProtection="1">
      <protection locked="0"/>
    </xf>
    <xf numFmtId="164" fontId="3" fillId="5" borderId="7" xfId="1" applyFont="1" applyFill="1" applyBorder="1" applyProtection="1">
      <protection locked="0"/>
    </xf>
    <xf numFmtId="165" fontId="14" fillId="5" borderId="15" xfId="1" applyNumberFormat="1" applyFont="1" applyFill="1" applyBorder="1" applyProtection="1">
      <protection locked="0"/>
    </xf>
    <xf numFmtId="164" fontId="2" fillId="5" borderId="13" xfId="1" applyFont="1" applyFill="1" applyBorder="1" applyProtection="1">
      <protection locked="0"/>
    </xf>
    <xf numFmtId="165" fontId="13" fillId="5" borderId="11" xfId="1" applyNumberFormat="1" applyFont="1" applyFill="1" applyBorder="1" applyProtection="1">
      <protection locked="0"/>
    </xf>
    <xf numFmtId="165" fontId="13" fillId="5" borderId="12" xfId="1" applyNumberFormat="1" applyFont="1" applyFill="1" applyBorder="1" applyProtection="1">
      <protection locked="0"/>
    </xf>
    <xf numFmtId="165" fontId="14" fillId="5" borderId="12" xfId="1" applyNumberFormat="1" applyFont="1" applyFill="1" applyBorder="1" applyProtection="1">
      <protection locked="0"/>
    </xf>
    <xf numFmtId="0" fontId="13" fillId="5" borderId="12" xfId="0" applyFont="1" applyFill="1" applyBorder="1" applyProtection="1">
      <protection locked="0"/>
    </xf>
    <xf numFmtId="0" fontId="13" fillId="5" borderId="13" xfId="0" applyFont="1" applyFill="1" applyBorder="1" applyProtection="1">
      <protection locked="0"/>
    </xf>
    <xf numFmtId="164" fontId="10" fillId="5" borderId="10" xfId="1" applyFont="1" applyFill="1" applyBorder="1" applyProtection="1">
      <protection locked="0"/>
    </xf>
    <xf numFmtId="165" fontId="10" fillId="5" borderId="8" xfId="1" applyNumberFormat="1" applyFont="1" applyFill="1" applyBorder="1" applyProtection="1">
      <protection locked="0"/>
    </xf>
    <xf numFmtId="165" fontId="10" fillId="5" borderId="9" xfId="1" applyNumberFormat="1" applyFont="1" applyFill="1" applyBorder="1" applyProtection="1">
      <protection locked="0"/>
    </xf>
    <xf numFmtId="164" fontId="12" fillId="5" borderId="10" xfId="1" applyFont="1" applyFill="1" applyBorder="1" applyProtection="1">
      <protection locked="0"/>
    </xf>
    <xf numFmtId="164" fontId="3" fillId="4" borderId="7" xfId="1" applyFont="1" applyFill="1" applyBorder="1" applyProtection="1">
      <protection locked="0"/>
    </xf>
    <xf numFmtId="164" fontId="4" fillId="5" borderId="0" xfId="1" applyFont="1" applyFill="1" applyAlignment="1" applyProtection="1">
      <alignment horizontal="left"/>
      <protection locked="0"/>
    </xf>
    <xf numFmtId="164" fontId="14" fillId="5" borderId="0" xfId="1" applyFont="1" applyFill="1" applyBorder="1" applyAlignment="1" applyProtection="1">
      <alignment horizontal="left"/>
      <protection locked="0"/>
    </xf>
    <xf numFmtId="0" fontId="2" fillId="5" borderId="0" xfId="0" applyFont="1" applyFill="1" applyBorder="1" applyProtection="1">
      <protection locked="0"/>
    </xf>
    <xf numFmtId="165" fontId="3" fillId="2" borderId="11" xfId="1" applyNumberFormat="1" applyFont="1" applyFill="1" applyBorder="1" applyAlignment="1" applyProtection="1">
      <protection locked="0"/>
    </xf>
    <xf numFmtId="165" fontId="14" fillId="5" borderId="15" xfId="1" applyNumberFormat="1" applyFont="1" applyFill="1" applyBorder="1" applyAlignment="1" applyProtection="1">
      <protection locked="0"/>
    </xf>
    <xf numFmtId="164" fontId="12" fillId="5" borderId="0" xfId="1" applyFont="1" applyFill="1" applyBorder="1" applyAlignment="1" applyProtection="1">
      <alignment horizontal="left"/>
      <protection locked="0"/>
    </xf>
    <xf numFmtId="165" fontId="3" fillId="3" borderId="1" xfId="1" applyNumberFormat="1" applyFont="1" applyFill="1" applyBorder="1" applyAlignment="1" applyProtection="1">
      <alignment horizontal="left"/>
      <protection locked="0"/>
    </xf>
    <xf numFmtId="165" fontId="14" fillId="5" borderId="15" xfId="1" applyNumberFormat="1" applyFont="1" applyFill="1" applyBorder="1" applyAlignment="1" applyProtection="1">
      <alignment horizontal="left"/>
      <protection locked="0"/>
    </xf>
    <xf numFmtId="164" fontId="3" fillId="3" borderId="11" xfId="1" applyFont="1" applyFill="1" applyBorder="1" applyAlignment="1" applyProtection="1">
      <alignment horizontal="left"/>
      <protection locked="0"/>
    </xf>
    <xf numFmtId="165" fontId="3" fillId="3" borderId="1" xfId="1" applyNumberFormat="1" applyFont="1" applyFill="1" applyBorder="1" applyAlignment="1" applyProtection="1">
      <protection locked="0"/>
    </xf>
    <xf numFmtId="165" fontId="3" fillId="3" borderId="11" xfId="1" applyNumberFormat="1" applyFont="1" applyFill="1" applyBorder="1" applyAlignment="1" applyProtection="1">
      <protection locked="0"/>
    </xf>
    <xf numFmtId="164" fontId="2" fillId="5" borderId="10" xfId="1" applyFont="1" applyFill="1" applyBorder="1" applyProtection="1">
      <protection locked="0"/>
    </xf>
    <xf numFmtId="165" fontId="3" fillId="5" borderId="8" xfId="1" applyNumberFormat="1" applyFont="1" applyFill="1" applyBorder="1" applyProtection="1">
      <protection locked="0"/>
    </xf>
    <xf numFmtId="165" fontId="3" fillId="5" borderId="9" xfId="1" applyNumberFormat="1" applyFont="1" applyFill="1" applyBorder="1" applyProtection="1">
      <protection locked="0"/>
    </xf>
    <xf numFmtId="0" fontId="3" fillId="5" borderId="9" xfId="0" applyFont="1" applyFill="1" applyBorder="1" applyProtection="1">
      <protection locked="0"/>
    </xf>
    <xf numFmtId="0" fontId="4" fillId="5" borderId="6" xfId="0" applyFont="1" applyFill="1" applyBorder="1" applyProtection="1">
      <protection locked="0"/>
    </xf>
    <xf numFmtId="0" fontId="8" fillId="0" borderId="0" xfId="1" applyNumberFormat="1" applyFont="1" applyProtection="1">
      <protection locked="0"/>
    </xf>
    <xf numFmtId="164" fontId="2" fillId="4" borderId="5" xfId="1" applyFont="1" applyFill="1" applyBorder="1" applyProtection="1">
      <protection locked="0"/>
    </xf>
    <xf numFmtId="164" fontId="2" fillId="4" borderId="8" xfId="1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6" xfId="0" applyFont="1" applyFill="1" applyBorder="1" applyProtection="1">
      <protection locked="0"/>
    </xf>
    <xf numFmtId="0" fontId="3" fillId="5" borderId="7" xfId="0" applyFont="1" applyFill="1" applyBorder="1" applyProtection="1">
      <protection locked="0"/>
    </xf>
    <xf numFmtId="164" fontId="2" fillId="5" borderId="14" xfId="1" applyFont="1" applyFill="1" applyBorder="1" applyAlignment="1" applyProtection="1">
      <alignment horizontal="left" indent="1"/>
      <protection locked="0"/>
    </xf>
    <xf numFmtId="0" fontId="3" fillId="5" borderId="15" xfId="0" applyFont="1" applyFill="1" applyBorder="1" applyProtection="1">
      <protection locked="0"/>
    </xf>
    <xf numFmtId="164" fontId="3" fillId="5" borderId="14" xfId="1" applyFont="1" applyFill="1" applyBorder="1" applyAlignment="1" applyProtection="1">
      <alignment horizontal="left" indent="1"/>
      <protection locked="0"/>
    </xf>
    <xf numFmtId="165" fontId="3" fillId="5" borderId="0" xfId="1" applyNumberFormat="1" applyFont="1" applyFill="1" applyBorder="1" applyProtection="1">
      <protection locked="0"/>
    </xf>
    <xf numFmtId="0" fontId="12" fillId="5" borderId="0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2" fillId="5" borderId="9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164" fontId="3" fillId="4" borderId="5" xfId="1" applyFont="1" applyFill="1" applyBorder="1" applyAlignment="1" applyProtection="1">
      <alignment horizontal="left" indent="1"/>
      <protection locked="0"/>
    </xf>
    <xf numFmtId="164" fontId="2" fillId="4" borderId="6" xfId="1" applyFont="1" applyFill="1" applyBorder="1" applyProtection="1">
      <protection locked="0"/>
    </xf>
    <xf numFmtId="164" fontId="4" fillId="4" borderId="8" xfId="1" applyFont="1" applyFill="1" applyBorder="1" applyAlignment="1" applyProtection="1">
      <alignment horizontal="left" indent="1"/>
      <protection locked="0"/>
    </xf>
    <xf numFmtId="164" fontId="2" fillId="4" borderId="9" xfId="1" applyFont="1" applyFill="1" applyBorder="1" applyProtection="1">
      <protection locked="0"/>
    </xf>
    <xf numFmtId="0" fontId="12" fillId="4" borderId="9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 applyProtection="1">
      <protection locked="0"/>
    </xf>
    <xf numFmtId="0" fontId="3" fillId="5" borderId="6" xfId="0" applyFont="1" applyFill="1" applyBorder="1" applyAlignment="1" applyProtection="1">
      <protection locked="0"/>
    </xf>
    <xf numFmtId="0" fontId="3" fillId="5" borderId="7" xfId="0" applyFont="1" applyFill="1" applyBorder="1" applyAlignment="1" applyProtection="1">
      <protection locked="0"/>
    </xf>
    <xf numFmtId="0" fontId="3" fillId="5" borderId="8" xfId="0" applyFont="1" applyFill="1" applyBorder="1" applyAlignment="1" applyProtection="1">
      <protection locked="0"/>
    </xf>
    <xf numFmtId="0" fontId="3" fillId="5" borderId="9" xfId="0" applyFont="1" applyFill="1" applyBorder="1" applyAlignment="1" applyProtection="1">
      <protection locked="0"/>
    </xf>
    <xf numFmtId="0" fontId="3" fillId="5" borderId="10" xfId="0" applyFont="1" applyFill="1" applyBorder="1" applyAlignment="1" applyProtection="1">
      <protection locked="0"/>
    </xf>
    <xf numFmtId="165" fontId="18" fillId="5" borderId="0" xfId="1" applyNumberFormat="1" applyFont="1" applyFill="1" applyBorder="1" applyProtection="1">
      <protection locked="0"/>
    </xf>
    <xf numFmtId="164" fontId="14" fillId="5" borderId="15" xfId="1" applyFont="1" applyFill="1" applyBorder="1" applyAlignment="1" applyProtection="1">
      <alignment horizontal="left"/>
      <protection locked="0"/>
    </xf>
    <xf numFmtId="164" fontId="2" fillId="0" borderId="0" xfId="1" applyFont="1" applyAlignment="1">
      <alignment vertical="center"/>
    </xf>
    <xf numFmtId="165" fontId="3" fillId="3" borderId="11" xfId="1" applyNumberFormat="1" applyFont="1" applyFill="1" applyBorder="1" applyAlignment="1" applyProtection="1">
      <protection locked="0"/>
    </xf>
    <xf numFmtId="165" fontId="3" fillId="3" borderId="11" xfId="1" applyNumberFormat="1" applyFont="1" applyFill="1" applyBorder="1" applyAlignment="1" applyProtection="1">
      <protection locked="0"/>
    </xf>
    <xf numFmtId="164" fontId="3" fillId="27" borderId="0" xfId="1" applyFont="1" applyFill="1"/>
    <xf numFmtId="165" fontId="0" fillId="0" borderId="0" xfId="1" applyNumberFormat="1" applyFont="1"/>
    <xf numFmtId="0" fontId="3" fillId="3" borderId="11" xfId="1" applyNumberFormat="1" applyFont="1" applyFill="1" applyBorder="1" applyAlignment="1" applyProtection="1">
      <protection locked="0"/>
    </xf>
    <xf numFmtId="0" fontId="0" fillId="0" borderId="12" xfId="0" applyNumberFormat="1" applyBorder="1" applyAlignment="1" applyProtection="1">
      <protection locked="0"/>
    </xf>
    <xf numFmtId="0" fontId="0" fillId="0" borderId="13" xfId="0" applyNumberFormat="1" applyBorder="1" applyAlignment="1" applyProtection="1">
      <protection locked="0"/>
    </xf>
    <xf numFmtId="164" fontId="3" fillId="5" borderId="15" xfId="0" applyNumberFormat="1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14" xfId="0" applyFont="1" applyFill="1" applyBorder="1" applyAlignment="1" applyProtection="1">
      <protection locked="0"/>
    </xf>
    <xf numFmtId="165" fontId="3" fillId="3" borderId="11" xfId="1" applyNumberFormat="1" applyFont="1" applyFill="1" applyBorder="1" applyAlignment="1" applyProtection="1">
      <protection locked="0"/>
    </xf>
    <xf numFmtId="0" fontId="3" fillId="3" borderId="12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164" fontId="3" fillId="2" borderId="11" xfId="1" applyFont="1" applyFill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164" fontId="12" fillId="5" borderId="15" xfId="0" applyNumberFormat="1" applyFont="1" applyFill="1" applyBorder="1" applyAlignment="1"/>
    <xf numFmtId="0" fontId="12" fillId="5" borderId="0" xfId="0" applyFont="1" applyFill="1" applyBorder="1" applyAlignment="1"/>
    <xf numFmtId="0" fontId="12" fillId="5" borderId="14" xfId="0" applyFont="1" applyFill="1" applyBorder="1" applyAlignment="1"/>
    <xf numFmtId="164" fontId="3" fillId="5" borderId="15" xfId="0" applyNumberFormat="1" applyFont="1" applyFill="1" applyBorder="1" applyAlignment="1"/>
    <xf numFmtId="0" fontId="3" fillId="5" borderId="0" xfId="0" applyFont="1" applyFill="1" applyBorder="1" applyAlignment="1"/>
    <xf numFmtId="0" fontId="3" fillId="5" borderId="14" xfId="0" applyFont="1" applyFill="1" applyBorder="1" applyAlignment="1"/>
  </cellXfs>
  <cellStyles count="5">
    <cellStyle name="Komma" xfId="1" builtinId="3"/>
    <cellStyle name="Procent" xfId="2" builtinId="5"/>
    <cellStyle name="Standaard" xfId="0" builtinId="0"/>
    <cellStyle name="Standaard 2" xfId="3"/>
    <cellStyle name="Standaard 2 10" xfId="4"/>
  </cellStyles>
  <dxfs count="3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CC0000"/>
      <color rgb="FF66FFFF"/>
      <color rgb="FFFFB7B7"/>
      <color rgb="FF99FF99"/>
      <color rgb="FFFFDF9F"/>
      <color rgb="FFFCD5B4"/>
      <color rgb="FF33CCCC"/>
      <color rgb="FF50F729"/>
      <color rgb="FFC5D9F1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526330</xdr:colOff>
      <xdr:row>0</xdr:row>
      <xdr:rowOff>9527</xdr:rowOff>
    </xdr:from>
    <xdr:ext cx="3712940" cy="682238"/>
    <xdr:sp macro="" textlink="">
      <xdr:nvSpPr>
        <xdr:cNvPr id="8" name="Tekstvak 7"/>
        <xdr:cNvSpPr txBox="1"/>
      </xdr:nvSpPr>
      <xdr:spPr>
        <a:xfrm>
          <a:off x="7312893" y="9527"/>
          <a:ext cx="371294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000">
              <a:latin typeface="Arial" pitchFamily="34" charset="0"/>
              <a:cs typeface="Arial" pitchFamily="34" charset="0"/>
            </a:rPr>
            <a:t>De methodiek van deze bepaling van de milieuprestaties  van </a:t>
          </a:r>
        </a:p>
        <a:p>
          <a:r>
            <a:rPr lang="en-GB" sz="1000">
              <a:latin typeface="Arial" pitchFamily="34" charset="0"/>
              <a:cs typeface="Arial" pitchFamily="34" charset="0"/>
            </a:rPr>
            <a:t>een gebouw  voldoet aan de eisen van het Bouwbesluit</a:t>
          </a:r>
          <a:r>
            <a:rPr lang="en-GB" sz="1000" baseline="0">
              <a:latin typeface="Arial" pitchFamily="34" charset="0"/>
              <a:cs typeface="Arial" pitchFamily="34" charset="0"/>
            </a:rPr>
            <a:t> 2012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en is in overeenstemming met  BMGG, juli 2011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en met NEN 8006:2004 inclusief correctieblad mei 2007.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10</xdr:col>
      <xdr:colOff>352425</xdr:colOff>
      <xdr:row>3</xdr:row>
      <xdr:rowOff>114301</xdr:rowOff>
    </xdr:from>
    <xdr:to>
      <xdr:col>12</xdr:col>
      <xdr:colOff>114300</xdr:colOff>
      <xdr:row>7</xdr:row>
      <xdr:rowOff>76201</xdr:rowOff>
    </xdr:to>
    <xdr:grpSp>
      <xdr:nvGrpSpPr>
        <xdr:cNvPr id="13" name="Groep 12"/>
        <xdr:cNvGrpSpPr/>
      </xdr:nvGrpSpPr>
      <xdr:grpSpPr>
        <a:xfrm>
          <a:off x="6091238" y="733426"/>
          <a:ext cx="1857375" cy="628650"/>
          <a:chOff x="5934075" y="666750"/>
          <a:chExt cx="2371725" cy="771525"/>
        </a:xfrm>
      </xdr:grpSpPr>
      <xdr:sp macro="" textlink="">
        <xdr:nvSpPr>
          <xdr:cNvPr id="11" name="Toelichting met afgeronde rechthoek 10"/>
          <xdr:cNvSpPr/>
        </xdr:nvSpPr>
        <xdr:spPr>
          <a:xfrm>
            <a:off x="5934075" y="666750"/>
            <a:ext cx="2371725" cy="771525"/>
          </a:xfrm>
          <a:prstGeom prst="wedgeRoundRectCallout">
            <a:avLst>
              <a:gd name="adj1" fmla="val -131183"/>
              <a:gd name="adj2" fmla="val 83975"/>
              <a:gd name="adj3" fmla="val 1666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GB" sz="1100"/>
          </a:p>
        </xdr:txBody>
      </xdr:sp>
      <xdr:pic>
        <xdr:nvPicPr>
          <xdr:cNvPr id="12" name="Afbeelding 11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134100" y="762000"/>
            <a:ext cx="1990725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11</xdr:col>
      <xdr:colOff>0</xdr:colOff>
      <xdr:row>58</xdr:row>
      <xdr:rowOff>0</xdr:rowOff>
    </xdr:from>
    <xdr:to>
      <xdr:col>12</xdr:col>
      <xdr:colOff>809625</xdr:colOff>
      <xdr:row>61</xdr:row>
      <xdr:rowOff>123825</xdr:rowOff>
    </xdr:to>
    <xdr:grpSp>
      <xdr:nvGrpSpPr>
        <xdr:cNvPr id="18" name="Groep 17"/>
        <xdr:cNvGrpSpPr/>
      </xdr:nvGrpSpPr>
      <xdr:grpSpPr>
        <a:xfrm>
          <a:off x="6786563" y="9429750"/>
          <a:ext cx="1857375" cy="778669"/>
          <a:chOff x="5934075" y="666750"/>
          <a:chExt cx="2371725" cy="771525"/>
        </a:xfrm>
      </xdr:grpSpPr>
      <xdr:sp macro="" textlink="">
        <xdr:nvSpPr>
          <xdr:cNvPr id="19" name="Toelichting met afgeronde rechthoek 18"/>
          <xdr:cNvSpPr/>
        </xdr:nvSpPr>
        <xdr:spPr>
          <a:xfrm>
            <a:off x="5934075" y="666750"/>
            <a:ext cx="2371725" cy="771525"/>
          </a:xfrm>
          <a:prstGeom prst="wedgeRoundRectCallout">
            <a:avLst>
              <a:gd name="adj1" fmla="val -217337"/>
              <a:gd name="adj2" fmla="val 82413"/>
              <a:gd name="adj3" fmla="val 16667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GB" sz="1100"/>
          </a:p>
        </xdr:txBody>
      </xdr:sp>
      <xdr:pic>
        <xdr:nvPicPr>
          <xdr:cNvPr id="20" name="Afbeelding 19"/>
          <xdr:cNvPicPr/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134100" y="762000"/>
            <a:ext cx="1990725" cy="5810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9</xdr:col>
      <xdr:colOff>571499</xdr:colOff>
      <xdr:row>94</xdr:row>
      <xdr:rowOff>59531</xdr:rowOff>
    </xdr:from>
    <xdr:ext cx="5579797" cy="264560"/>
    <xdr:sp macro="" textlink="">
      <xdr:nvSpPr>
        <xdr:cNvPr id="9" name="Tekstvak 8"/>
        <xdr:cNvSpPr txBox="1"/>
      </xdr:nvSpPr>
      <xdr:spPr>
        <a:xfrm>
          <a:off x="5262562" y="15430500"/>
          <a:ext cx="5579797" cy="26456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100" b="1"/>
            <a:t>Berekening van energieverbruik met bijbehorende milieulast wordt binnenkort toegevoegd.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38100</xdr:rowOff>
        </xdr:from>
        <xdr:to>
          <xdr:col>9</xdr:col>
          <xdr:colOff>171450</xdr:colOff>
          <xdr:row>13</xdr:row>
          <xdr:rowOff>285750</xdr:rowOff>
        </xdr:to>
        <xdr:sp macro="" textlink="">
          <xdr:nvSpPr>
            <xdr:cNvPr id="1209" name="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900" b="1" i="0" u="none" strike="noStrike" baseline="0">
                  <a:solidFill>
                    <a:srgbClr val="FF00FF"/>
                  </a:solidFill>
                  <a:latin typeface="Calibri"/>
                </a:rPr>
                <a:t>Reset en bereken vanaf hier</a:t>
              </a:r>
              <a:endParaRPr lang="nl-NL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47625</xdr:rowOff>
        </xdr:from>
        <xdr:to>
          <xdr:col>9</xdr:col>
          <xdr:colOff>171450</xdr:colOff>
          <xdr:row>20</xdr:row>
          <xdr:rowOff>295275</xdr:rowOff>
        </xdr:to>
        <xdr:sp macro="" textlink="">
          <xdr:nvSpPr>
            <xdr:cNvPr id="2137" name="Button 1113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900" b="1" i="0" u="none" strike="noStrike" baseline="0">
                  <a:solidFill>
                    <a:srgbClr val="FF00FF"/>
                  </a:solidFill>
                  <a:latin typeface="Calibri"/>
                </a:rPr>
                <a:t>Reset en bereken vanaf hier</a:t>
              </a:r>
              <a:endParaRPr lang="nl-NL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59</xdr:row>
          <xdr:rowOff>28575</xdr:rowOff>
        </xdr:from>
        <xdr:to>
          <xdr:col>9</xdr:col>
          <xdr:colOff>209550</xdr:colOff>
          <xdr:row>59</xdr:row>
          <xdr:rowOff>276225</xdr:rowOff>
        </xdr:to>
        <xdr:sp macro="" textlink="">
          <xdr:nvSpPr>
            <xdr:cNvPr id="2138" name="Button 1114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900" b="1" i="0" u="none" strike="noStrike" baseline="0">
                  <a:solidFill>
                    <a:srgbClr val="FF00FF"/>
                  </a:solidFill>
                  <a:latin typeface="Calibri"/>
                </a:rPr>
                <a:t>Reset en bereken vanaf hier</a:t>
              </a:r>
              <a:endParaRPr lang="nl-NL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111</xdr:row>
          <xdr:rowOff>9525</xdr:rowOff>
        </xdr:from>
        <xdr:to>
          <xdr:col>9</xdr:col>
          <xdr:colOff>228600</xdr:colOff>
          <xdr:row>111</xdr:row>
          <xdr:rowOff>257175</xdr:rowOff>
        </xdr:to>
        <xdr:sp macro="" textlink="">
          <xdr:nvSpPr>
            <xdr:cNvPr id="2139" name="Button 1115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900" b="1" i="0" u="none" strike="noStrike" baseline="0">
                  <a:solidFill>
                    <a:srgbClr val="FF00FF"/>
                  </a:solidFill>
                  <a:latin typeface="Calibri"/>
                </a:rPr>
                <a:t>Reset en bereken vanaf hier</a:t>
              </a:r>
              <a:endParaRPr lang="nl-NL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191</xdr:row>
          <xdr:rowOff>28575</xdr:rowOff>
        </xdr:from>
        <xdr:to>
          <xdr:col>9</xdr:col>
          <xdr:colOff>142875</xdr:colOff>
          <xdr:row>191</xdr:row>
          <xdr:rowOff>276225</xdr:rowOff>
        </xdr:to>
        <xdr:sp macro="" textlink="">
          <xdr:nvSpPr>
            <xdr:cNvPr id="2140" name="Button 1116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900" b="1" i="0" u="none" strike="noStrike" baseline="0">
                  <a:solidFill>
                    <a:srgbClr val="FF00FF"/>
                  </a:solidFill>
                  <a:latin typeface="Calibri"/>
                </a:rPr>
                <a:t>Reset en bereken vanaf hier</a:t>
              </a:r>
              <a:endParaRPr lang="nl-NL"/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390526</xdr:colOff>
      <xdr:row>0</xdr:row>
      <xdr:rowOff>9527</xdr:rowOff>
    </xdr:from>
    <xdr:ext cx="3712940" cy="682238"/>
    <xdr:sp macro="" textlink="">
      <xdr:nvSpPr>
        <xdr:cNvPr id="3" name="Tekstvak 2"/>
        <xdr:cNvSpPr txBox="1"/>
      </xdr:nvSpPr>
      <xdr:spPr>
        <a:xfrm>
          <a:off x="5081589" y="9527"/>
          <a:ext cx="3712940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1000">
              <a:latin typeface="Arial" pitchFamily="34" charset="0"/>
              <a:cs typeface="Arial" pitchFamily="34" charset="0"/>
            </a:rPr>
            <a:t>De methodiek van deze bepaling van de milieuprestaties  van </a:t>
          </a:r>
        </a:p>
        <a:p>
          <a:r>
            <a:rPr lang="en-GB" sz="1000">
              <a:latin typeface="Arial" pitchFamily="34" charset="0"/>
              <a:cs typeface="Arial" pitchFamily="34" charset="0"/>
            </a:rPr>
            <a:t>een gebouw  voldoet aan de eisen van het Bouwbesluit</a:t>
          </a:r>
          <a:r>
            <a:rPr lang="en-GB" sz="1000" baseline="0">
              <a:latin typeface="Arial" pitchFamily="34" charset="0"/>
              <a:cs typeface="Arial" pitchFamily="34" charset="0"/>
            </a:rPr>
            <a:t> 2012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en is in overeenstemming met  BMGG, juli 2011</a:t>
          </a:r>
        </a:p>
        <a:p>
          <a:r>
            <a:rPr lang="en-GB" sz="1000" baseline="0">
              <a:latin typeface="Arial" pitchFamily="34" charset="0"/>
              <a:cs typeface="Arial" pitchFamily="34" charset="0"/>
            </a:rPr>
            <a:t>en met NEN 8006:2004 inclusief correctieblad mei 2007.</a:t>
          </a:r>
          <a:endParaRPr lang="en-GB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Z299"/>
  <sheetViews>
    <sheetView showGridLines="0" tabSelected="1" zoomScale="80" zoomScaleNormal="80" workbookViewId="0">
      <pane xSplit="16" topLeftCell="Q1" activePane="topRight" state="frozen"/>
      <selection activeCell="AP26" sqref="AP26"/>
      <selection pane="topRight" activeCell="G95" sqref="G95"/>
    </sheetView>
  </sheetViews>
  <sheetFormatPr defaultRowHeight="12.75" x14ac:dyDescent="0.2"/>
  <cols>
    <col min="1" max="1" width="5.140625" style="2" customWidth="1"/>
    <col min="2" max="2" width="1.5703125" style="33" customWidth="1"/>
    <col min="3" max="3" width="26.7109375" style="4" customWidth="1"/>
    <col min="4" max="4" width="10.7109375" style="2" customWidth="1"/>
    <col min="5" max="5" width="0.85546875" style="2" customWidth="1"/>
    <col min="6" max="7" width="8.7109375" style="2" customWidth="1"/>
    <col min="8" max="8" width="6.7109375" style="4" customWidth="1"/>
    <col min="9" max="9" width="0.85546875" style="4" customWidth="1"/>
    <col min="10" max="14" width="15.7109375" style="3" customWidth="1"/>
    <col min="15" max="15" width="16.7109375" style="3" customWidth="1"/>
    <col min="16" max="16" width="9.140625" style="2" customWidth="1"/>
    <col min="17" max="17" width="9.140625" style="2" hidden="1" customWidth="1"/>
    <col min="18" max="18" width="2.5703125" style="2" hidden="1" customWidth="1"/>
    <col min="19" max="19" width="9.140625" style="2" hidden="1" customWidth="1"/>
    <col min="20" max="25" width="33.7109375" style="2" hidden="1" customWidth="1"/>
    <col min="26" max="26" width="9.85546875" style="2" hidden="1" customWidth="1"/>
    <col min="27" max="27" width="9.140625" style="2" hidden="1" customWidth="1"/>
    <col min="28" max="29" width="8.5703125" style="2" hidden="1" customWidth="1"/>
    <col min="30" max="30" width="14.5703125" style="2" hidden="1" customWidth="1"/>
    <col min="31" max="31" width="8.5703125" style="2" hidden="1" customWidth="1"/>
    <col min="32" max="32" width="5.5703125" style="2" hidden="1" customWidth="1"/>
    <col min="33" max="33" width="7.42578125" style="2" hidden="1" customWidth="1"/>
    <col min="34" max="35" width="8.5703125" style="2" hidden="1" customWidth="1"/>
    <col min="36" max="36" width="7.42578125" style="2" hidden="1" customWidth="1"/>
    <col min="37" max="37" width="5.5703125" style="2" hidden="1" customWidth="1"/>
    <col min="38" max="38" width="8.85546875" style="2" hidden="1" customWidth="1"/>
    <col min="39" max="40" width="8.5703125" style="2" hidden="1" customWidth="1"/>
    <col min="41" max="41" width="7.42578125" style="2" hidden="1" customWidth="1"/>
    <col min="42" max="42" width="5.5703125" style="2" hidden="1" customWidth="1"/>
    <col min="43" max="43" width="11.42578125" style="2" hidden="1" customWidth="1"/>
    <col min="44" max="45" width="9.5703125" style="2" hidden="1" customWidth="1"/>
    <col min="46" max="46" width="8.5703125" style="2" hidden="1" customWidth="1"/>
    <col min="47" max="47" width="6.28515625" style="2" hidden="1" customWidth="1"/>
    <col min="48" max="51" width="7.42578125" style="2" hidden="1" customWidth="1"/>
    <col min="52" max="52" width="5.5703125" style="2" hidden="1" customWidth="1"/>
    <col min="53" max="56" width="7.42578125" style="2" hidden="1" customWidth="1"/>
    <col min="57" max="57" width="5.5703125" style="2" hidden="1" customWidth="1"/>
    <col min="58" max="58" width="30" style="2" hidden="1" customWidth="1"/>
    <col min="59" max="59" width="3.7109375" style="2" hidden="1" customWidth="1"/>
    <col min="60" max="60" width="6.42578125" style="2" hidden="1" customWidth="1"/>
    <col min="61" max="61" width="9.7109375" style="2" hidden="1" customWidth="1"/>
    <col min="62" max="62" width="12.140625" style="2" hidden="1" customWidth="1"/>
    <col min="63" max="64" width="9.140625" style="2" hidden="1" customWidth="1"/>
    <col min="65" max="65" width="11.28515625" style="2" hidden="1" customWidth="1"/>
    <col min="66" max="130" width="9.140625" style="2" hidden="1" customWidth="1"/>
    <col min="131" max="16384" width="9.140625" style="2"/>
  </cols>
  <sheetData>
    <row r="1" spans="3:108" ht="18" x14ac:dyDescent="0.25">
      <c r="C1" s="107" t="s">
        <v>45</v>
      </c>
    </row>
    <row r="2" spans="3:108" ht="18" x14ac:dyDescent="0.25">
      <c r="C2" s="107"/>
    </row>
    <row r="5" spans="3:108" ht="12.75" customHeight="1" x14ac:dyDescent="0.25">
      <c r="C5" s="106" t="s">
        <v>43</v>
      </c>
      <c r="F5" s="3"/>
      <c r="G5" s="3"/>
    </row>
    <row r="6" spans="3:108" ht="12.75" customHeight="1" x14ac:dyDescent="0.2">
      <c r="BL6" s="2" t="s">
        <v>560</v>
      </c>
      <c r="BM6" s="2" t="s">
        <v>561</v>
      </c>
      <c r="BN6" s="2" t="s">
        <v>562</v>
      </c>
      <c r="BO6" s="2" t="s">
        <v>563</v>
      </c>
    </row>
    <row r="7" spans="3:108" ht="12.75" customHeight="1" x14ac:dyDescent="0.2">
      <c r="C7" s="164" t="s">
        <v>256</v>
      </c>
      <c r="D7" s="213"/>
      <c r="E7" s="108"/>
      <c r="F7" s="170" t="s">
        <v>180</v>
      </c>
      <c r="G7" s="85"/>
      <c r="H7" s="185"/>
      <c r="I7" s="86"/>
      <c r="J7" s="185" t="s">
        <v>213</v>
      </c>
      <c r="K7" s="85"/>
      <c r="L7" s="85"/>
      <c r="M7" s="85"/>
      <c r="N7" s="85"/>
      <c r="O7" s="86"/>
    </row>
    <row r="8" spans="3:108" ht="12.75" customHeight="1" x14ac:dyDescent="0.2">
      <c r="C8" s="89" t="str">
        <f>$F$11</f>
        <v>2012-07-01 Voorbeeld 1</v>
      </c>
      <c r="D8" s="90"/>
      <c r="E8" s="111"/>
      <c r="F8" s="171" t="s">
        <v>148</v>
      </c>
      <c r="G8" s="142" t="s">
        <v>149</v>
      </c>
      <c r="H8" s="195"/>
      <c r="I8" s="90"/>
      <c r="J8" s="142"/>
      <c r="K8" s="142"/>
      <c r="L8" s="142"/>
      <c r="M8" s="142"/>
      <c r="N8" s="142"/>
      <c r="O8" s="90"/>
      <c r="T8" s="50"/>
      <c r="U8" s="50"/>
      <c r="V8" s="50"/>
      <c r="W8" s="50"/>
      <c r="X8" s="50"/>
      <c r="BF8" s="50"/>
      <c r="BG8" s="50"/>
      <c r="BH8" s="50"/>
      <c r="BI8" s="71" t="s">
        <v>148</v>
      </c>
      <c r="BJ8" s="72" t="s">
        <v>149</v>
      </c>
      <c r="BL8" s="73" t="s">
        <v>154</v>
      </c>
      <c r="BM8" s="72"/>
      <c r="BN8" s="72"/>
      <c r="BO8" s="72"/>
      <c r="BP8" s="72"/>
      <c r="BR8" s="73" t="s">
        <v>159</v>
      </c>
      <c r="BS8" s="72"/>
      <c r="BT8" s="72"/>
      <c r="BU8" s="72"/>
      <c r="BV8" s="72"/>
    </row>
    <row r="9" spans="3:108" ht="12.75" customHeight="1" x14ac:dyDescent="0.2">
      <c r="C9" s="14" t="s">
        <v>257</v>
      </c>
      <c r="D9" s="214"/>
      <c r="E9" s="160"/>
      <c r="F9" s="177"/>
      <c r="G9" s="177"/>
      <c r="H9" s="196"/>
      <c r="I9" s="197"/>
      <c r="J9" s="188"/>
      <c r="K9" s="29"/>
      <c r="L9" s="29"/>
      <c r="M9" s="29"/>
      <c r="N9" s="29"/>
      <c r="O9" s="155"/>
      <c r="T9" s="51"/>
      <c r="U9" s="51"/>
      <c r="V9" s="51"/>
      <c r="W9" s="51"/>
      <c r="X9" s="51"/>
      <c r="BF9" s="74"/>
      <c r="BG9" s="74"/>
      <c r="BH9" s="75"/>
      <c r="BI9" s="76"/>
      <c r="BJ9" s="77">
        <f>IF(F10=T10,1,IF(F10=U10,2,IF(F10=V10,3,IF(F10=W10,4,IF(F10=X10,5,1)))))</f>
        <v>2</v>
      </c>
      <c r="BL9" s="74">
        <v>1</v>
      </c>
      <c r="BM9" s="74">
        <v>2</v>
      </c>
      <c r="BN9" s="74">
        <v>3</v>
      </c>
      <c r="BO9" s="74">
        <v>4</v>
      </c>
      <c r="BP9" s="74">
        <v>5</v>
      </c>
      <c r="BR9" s="74">
        <v>1</v>
      </c>
      <c r="BS9" s="74">
        <v>2</v>
      </c>
      <c r="BT9" s="74">
        <v>3</v>
      </c>
      <c r="BU9" s="74">
        <v>4</v>
      </c>
      <c r="BV9" s="74">
        <v>5</v>
      </c>
    </row>
    <row r="10" spans="3:108" ht="12.75" customHeight="1" x14ac:dyDescent="0.2">
      <c r="C10" s="16" t="s">
        <v>30</v>
      </c>
      <c r="D10" s="191"/>
      <c r="E10" s="109"/>
      <c r="F10" s="533" t="s">
        <v>281</v>
      </c>
      <c r="G10" s="534"/>
      <c r="H10" s="535"/>
      <c r="I10" s="197"/>
      <c r="J10" s="16" t="s">
        <v>278</v>
      </c>
      <c r="K10" s="30"/>
      <c r="L10" s="30"/>
      <c r="M10" s="30"/>
      <c r="N10" s="205" t="s">
        <v>262</v>
      </c>
      <c r="O10" s="156"/>
      <c r="T10" s="74" t="s">
        <v>285</v>
      </c>
      <c r="U10" s="74" t="s">
        <v>281</v>
      </c>
      <c r="V10" s="74" t="s">
        <v>282</v>
      </c>
      <c r="W10" s="74" t="s">
        <v>283</v>
      </c>
      <c r="X10" s="74" t="s">
        <v>284</v>
      </c>
      <c r="BH10" s="78">
        <v>2</v>
      </c>
      <c r="BI10" s="79"/>
      <c r="BR10" s="2" t="s">
        <v>29</v>
      </c>
      <c r="CA10" s="2" t="s">
        <v>285</v>
      </c>
      <c r="CG10" s="2" t="s">
        <v>281</v>
      </c>
      <c r="CM10" s="2" t="s">
        <v>282</v>
      </c>
      <c r="CS10" s="2" t="s">
        <v>283</v>
      </c>
      <c r="CY10" s="2" t="s">
        <v>284</v>
      </c>
    </row>
    <row r="11" spans="3:108" ht="15" x14ac:dyDescent="0.25">
      <c r="C11" s="16" t="s">
        <v>258</v>
      </c>
      <c r="D11" s="191"/>
      <c r="E11" s="194"/>
      <c r="F11" s="536" t="s">
        <v>259</v>
      </c>
      <c r="G11" s="537"/>
      <c r="H11" s="538"/>
      <c r="I11" s="197"/>
      <c r="J11" s="16" t="s">
        <v>264</v>
      </c>
      <c r="K11" s="19"/>
      <c r="L11" s="19"/>
      <c r="M11" s="19"/>
      <c r="N11" s="206" t="s">
        <v>263</v>
      </c>
      <c r="O11" s="191"/>
      <c r="BH11" s="78">
        <v>3</v>
      </c>
      <c r="BI11" s="78"/>
      <c r="BJ11" s="286">
        <f>BJ13/HLOOKUP(BJ$9,$BL$9:$BP$19,BH$13,FALSE)</f>
        <v>0.11682242990654206</v>
      </c>
    </row>
    <row r="12" spans="3:108" ht="12.75" customHeight="1" x14ac:dyDescent="0.2">
      <c r="C12" s="15" t="s">
        <v>265</v>
      </c>
      <c r="D12" s="215"/>
      <c r="E12" s="161"/>
      <c r="F12" s="177"/>
      <c r="G12" s="177"/>
      <c r="H12" s="196"/>
      <c r="I12" s="197"/>
      <c r="J12" s="192"/>
      <c r="K12" s="193"/>
      <c r="L12" s="193"/>
      <c r="M12" s="193"/>
      <c r="N12" s="193"/>
      <c r="O12" s="191"/>
      <c r="BF12" s="4" t="s">
        <v>151</v>
      </c>
      <c r="BH12" s="78">
        <v>4</v>
      </c>
      <c r="BI12" s="79"/>
      <c r="BJ12" s="3"/>
      <c r="BM12" s="82"/>
    </row>
    <row r="13" spans="3:108" ht="12.75" customHeight="1" x14ac:dyDescent="0.2">
      <c r="C13" s="16" t="s">
        <v>266</v>
      </c>
      <c r="D13" s="191"/>
      <c r="E13" s="161"/>
      <c r="F13" s="425">
        <v>150</v>
      </c>
      <c r="G13" s="178">
        <f>F13</f>
        <v>150</v>
      </c>
      <c r="H13" s="197" t="s">
        <v>22</v>
      </c>
      <c r="I13" s="197"/>
      <c r="J13" s="16" t="s">
        <v>427</v>
      </c>
      <c r="K13" s="30"/>
      <c r="L13" s="30"/>
      <c r="M13" s="30"/>
      <c r="N13" s="30"/>
      <c r="O13" s="156"/>
      <c r="AJ13" s="4"/>
      <c r="AO13" s="4"/>
      <c r="AT13" s="4"/>
      <c r="AY13" s="4"/>
      <c r="BD13" s="4"/>
      <c r="BF13" s="4" t="s">
        <v>18</v>
      </c>
      <c r="BH13" s="78">
        <v>5</v>
      </c>
      <c r="BI13" s="80">
        <f t="shared" ref="BI13:BI19" si="0">F13</f>
        <v>150</v>
      </c>
      <c r="BJ13" s="81">
        <f>F13</f>
        <v>150</v>
      </c>
      <c r="BL13" s="82">
        <v>926</v>
      </c>
      <c r="BM13" s="82">
        <f>107*12</f>
        <v>1284</v>
      </c>
      <c r="BN13" s="82">
        <v>398</v>
      </c>
      <c r="BO13" s="82">
        <v>1141</v>
      </c>
      <c r="BP13" s="82">
        <v>926</v>
      </c>
      <c r="CA13" s="191"/>
      <c r="CB13" s="161"/>
      <c r="CC13" s="60">
        <v>150</v>
      </c>
      <c r="CD13" s="178">
        <f>CC13</f>
        <v>150</v>
      </c>
      <c r="CE13" s="197" t="s">
        <v>22</v>
      </c>
      <c r="CF13" s="197"/>
      <c r="CG13" s="191"/>
      <c r="CH13" s="161"/>
      <c r="CI13" s="60">
        <v>107</v>
      </c>
      <c r="CJ13" s="178">
        <f>CI13</f>
        <v>107</v>
      </c>
      <c r="CK13" s="197" t="s">
        <v>22</v>
      </c>
      <c r="CL13" s="197"/>
      <c r="CM13" s="191"/>
      <c r="CN13" s="161"/>
      <c r="CO13" s="60">
        <v>398</v>
      </c>
      <c r="CP13" s="178">
        <f>CO13</f>
        <v>398</v>
      </c>
      <c r="CQ13" s="197" t="s">
        <v>22</v>
      </c>
      <c r="CR13" s="197"/>
      <c r="CS13" s="191"/>
      <c r="CT13" s="161"/>
      <c r="CU13" s="60">
        <v>398</v>
      </c>
      <c r="CV13" s="178">
        <f>CU13</f>
        <v>398</v>
      </c>
      <c r="CW13" s="197" t="s">
        <v>22</v>
      </c>
      <c r="CX13" s="197"/>
      <c r="CY13" s="191"/>
      <c r="CZ13" s="161"/>
      <c r="DA13" s="60">
        <v>398</v>
      </c>
      <c r="DB13" s="178">
        <f>DA13</f>
        <v>398</v>
      </c>
      <c r="DC13" s="197" t="s">
        <v>22</v>
      </c>
      <c r="DD13" s="197"/>
    </row>
    <row r="14" spans="3:108" ht="25.5" customHeight="1" x14ac:dyDescent="0.2">
      <c r="C14" s="417"/>
      <c r="D14" s="417"/>
      <c r="E14" s="418"/>
      <c r="F14" s="419"/>
      <c r="G14" s="419"/>
      <c r="H14" s="420"/>
      <c r="I14" s="420"/>
      <c r="J14" s="417"/>
      <c r="K14" s="421"/>
      <c r="L14" s="421"/>
      <c r="M14" s="421"/>
      <c r="N14" s="421"/>
      <c r="O14" s="421"/>
      <c r="AJ14" s="4"/>
      <c r="AO14" s="4"/>
      <c r="AT14" s="4"/>
      <c r="AY14" s="4"/>
      <c r="BD14" s="4"/>
      <c r="BF14" s="4"/>
      <c r="BH14" s="78">
        <v>6</v>
      </c>
      <c r="BI14" s="95"/>
      <c r="BJ14" s="287"/>
      <c r="BL14" s="82"/>
      <c r="BM14" s="82"/>
      <c r="BN14" s="82"/>
      <c r="BO14" s="82"/>
      <c r="BP14" s="82"/>
      <c r="CA14" s="191"/>
      <c r="CB14" s="161"/>
      <c r="CC14" s="178"/>
      <c r="CD14" s="178"/>
      <c r="CE14" s="197"/>
      <c r="CF14" s="197"/>
      <c r="CG14" s="191"/>
      <c r="CH14" s="161"/>
      <c r="CI14" s="178"/>
      <c r="CJ14" s="178"/>
      <c r="CK14" s="197"/>
      <c r="CL14" s="197"/>
      <c r="CM14" s="191"/>
      <c r="CN14" s="161"/>
      <c r="CO14" s="178"/>
      <c r="CP14" s="178"/>
      <c r="CQ14" s="197"/>
      <c r="CR14" s="197"/>
      <c r="CS14" s="191"/>
      <c r="CT14" s="161"/>
      <c r="CU14" s="178"/>
      <c r="CV14" s="178"/>
      <c r="CW14" s="197"/>
      <c r="CX14" s="197"/>
      <c r="CY14" s="191"/>
      <c r="CZ14" s="161"/>
      <c r="DA14" s="178"/>
      <c r="DB14" s="178"/>
      <c r="DC14" s="197"/>
      <c r="DD14" s="197"/>
    </row>
    <row r="15" spans="3:108" ht="12.75" customHeight="1" x14ac:dyDescent="0.2">
      <c r="C15" s="16" t="s">
        <v>19</v>
      </c>
      <c r="D15" s="427"/>
      <c r="E15" s="428"/>
      <c r="F15" s="426">
        <f>G15</f>
        <v>3</v>
      </c>
      <c r="G15" s="429">
        <f>BJ15</f>
        <v>3</v>
      </c>
      <c r="H15" s="430" t="s">
        <v>210</v>
      </c>
      <c r="I15" s="430"/>
      <c r="J15" s="16" t="s">
        <v>428</v>
      </c>
      <c r="K15" s="30"/>
      <c r="L15" s="30"/>
      <c r="M15" s="30"/>
      <c r="N15" s="30"/>
      <c r="O15" s="156"/>
      <c r="AJ15" s="4"/>
      <c r="AO15" s="4"/>
      <c r="AT15" s="4"/>
      <c r="AY15" s="4"/>
      <c r="BD15" s="4"/>
      <c r="BF15" s="4" t="s">
        <v>19</v>
      </c>
      <c r="BH15" s="78">
        <v>7</v>
      </c>
      <c r="BI15" s="83">
        <f>F15</f>
        <v>3</v>
      </c>
      <c r="BJ15" s="65">
        <f>HLOOKUP(BJ$9,$BL$9:$BP$19,BH15,FALSE)</f>
        <v>3</v>
      </c>
      <c r="BL15" s="82">
        <v>3</v>
      </c>
      <c r="BM15" s="82">
        <v>3</v>
      </c>
      <c r="BN15" s="82">
        <v>2</v>
      </c>
      <c r="BO15" s="82">
        <v>2</v>
      </c>
      <c r="BP15" s="82">
        <v>3</v>
      </c>
      <c r="CA15" s="427"/>
      <c r="CB15" s="428"/>
      <c r="CC15" s="426">
        <f>CD15</f>
        <v>0</v>
      </c>
      <c r="CD15" s="429">
        <f>EG15</f>
        <v>0</v>
      </c>
      <c r="CE15" s="430" t="s">
        <v>210</v>
      </c>
      <c r="CF15" s="430"/>
      <c r="CG15" s="427"/>
      <c r="CH15" s="428"/>
      <c r="CI15" s="426">
        <f>CJ15</f>
        <v>0</v>
      </c>
      <c r="CJ15" s="429">
        <f>EM15</f>
        <v>0</v>
      </c>
      <c r="CK15" s="430" t="s">
        <v>210</v>
      </c>
      <c r="CL15" s="430"/>
      <c r="CM15" s="427"/>
      <c r="CN15" s="428"/>
      <c r="CO15" s="426">
        <f>CP15</f>
        <v>0</v>
      </c>
      <c r="CP15" s="429">
        <f>ES15</f>
        <v>0</v>
      </c>
      <c r="CQ15" s="430" t="s">
        <v>210</v>
      </c>
      <c r="CR15" s="430"/>
      <c r="CS15" s="427"/>
      <c r="CT15" s="428"/>
      <c r="CU15" s="426">
        <f>CV15</f>
        <v>0</v>
      </c>
      <c r="CV15" s="429">
        <f>EY15</f>
        <v>0</v>
      </c>
      <c r="CW15" s="430" t="s">
        <v>210</v>
      </c>
      <c r="CX15" s="430"/>
      <c r="CY15" s="427"/>
      <c r="CZ15" s="428"/>
      <c r="DA15" s="429"/>
      <c r="DB15" s="429"/>
      <c r="DC15" s="430"/>
      <c r="DD15" s="430"/>
    </row>
    <row r="16" spans="3:108" x14ac:dyDescent="0.2">
      <c r="C16" s="16" t="s">
        <v>24</v>
      </c>
      <c r="D16" s="427"/>
      <c r="E16" s="428"/>
      <c r="F16" s="426">
        <f>G16</f>
        <v>220.09345794392524</v>
      </c>
      <c r="G16" s="429">
        <f t="shared" ref="G16:G19" si="1">BJ16</f>
        <v>220.09345794392524</v>
      </c>
      <c r="H16" s="430" t="s">
        <v>22</v>
      </c>
      <c r="I16" s="430"/>
      <c r="J16" s="16" t="s">
        <v>429</v>
      </c>
      <c r="K16" s="30"/>
      <c r="L16" s="30"/>
      <c r="M16" s="30"/>
      <c r="N16" s="30"/>
      <c r="O16" s="156"/>
      <c r="AJ16" s="4"/>
      <c r="AO16" s="4"/>
      <c r="AT16" s="4"/>
      <c r="AY16" s="4"/>
      <c r="BD16" s="4"/>
      <c r="BF16" s="4" t="s">
        <v>24</v>
      </c>
      <c r="BH16" s="78">
        <v>8</v>
      </c>
      <c r="BI16" s="83">
        <f t="shared" si="0"/>
        <v>220.09345794392524</v>
      </c>
      <c r="BJ16" s="65">
        <f>HLOOKUP(BJ$9,$BL$9:$BP$19,BH16,FALSE)*BJ$11</f>
        <v>220.09345794392524</v>
      </c>
      <c r="BL16" s="82">
        <v>1155</v>
      </c>
      <c r="BM16" s="82">
        <f>43*12+114*12</f>
        <v>1884</v>
      </c>
      <c r="BN16" s="82">
        <v>700</v>
      </c>
      <c r="BO16" s="82">
        <f>3880+580</f>
        <v>4460</v>
      </c>
      <c r="BP16" s="82">
        <v>1155</v>
      </c>
      <c r="CA16" s="427"/>
      <c r="CB16" s="428"/>
      <c r="CC16" s="426">
        <f>CD16</f>
        <v>0</v>
      </c>
      <c r="CD16" s="429">
        <f t="shared" ref="CD16:CD19" si="2">EG16</f>
        <v>0</v>
      </c>
      <c r="CE16" s="430" t="s">
        <v>22</v>
      </c>
      <c r="CF16" s="430"/>
      <c r="CG16" s="427"/>
      <c r="CH16" s="428"/>
      <c r="CI16" s="426">
        <f>CJ16</f>
        <v>0</v>
      </c>
      <c r="CJ16" s="429">
        <f t="shared" ref="CJ16:CJ19" si="3">EM16</f>
        <v>0</v>
      </c>
      <c r="CK16" s="430" t="s">
        <v>22</v>
      </c>
      <c r="CL16" s="430"/>
      <c r="CM16" s="427"/>
      <c r="CN16" s="428"/>
      <c r="CO16" s="426">
        <f>CP16</f>
        <v>0</v>
      </c>
      <c r="CP16" s="429">
        <f t="shared" ref="CP16:CP19" si="4">ES16</f>
        <v>0</v>
      </c>
      <c r="CQ16" s="430" t="s">
        <v>22</v>
      </c>
      <c r="CR16" s="430"/>
      <c r="CS16" s="427"/>
      <c r="CT16" s="428"/>
      <c r="CU16" s="426">
        <f>CV16</f>
        <v>0</v>
      </c>
      <c r="CV16" s="429">
        <f t="shared" ref="CV16:CV19" si="5">EY16</f>
        <v>0</v>
      </c>
      <c r="CW16" s="430" t="s">
        <v>22</v>
      </c>
      <c r="CX16" s="430"/>
      <c r="CY16" s="427"/>
      <c r="CZ16" s="428"/>
      <c r="DA16" s="520" t="s">
        <v>559</v>
      </c>
      <c r="DB16" s="429"/>
      <c r="DC16" s="430"/>
      <c r="DD16" s="430"/>
    </row>
    <row r="17" spans="1:108" x14ac:dyDescent="0.2">
      <c r="C17" s="16" t="s">
        <v>20</v>
      </c>
      <c r="D17" s="427"/>
      <c r="E17" s="428"/>
      <c r="F17" s="426">
        <f>G17</f>
        <v>60.280373831775698</v>
      </c>
      <c r="G17" s="429">
        <f t="shared" si="1"/>
        <v>60.280373831775698</v>
      </c>
      <c r="H17" s="430" t="s">
        <v>22</v>
      </c>
      <c r="I17" s="430"/>
      <c r="J17" s="16" t="s">
        <v>430</v>
      </c>
      <c r="K17" s="30"/>
      <c r="L17" s="30"/>
      <c r="M17" s="30"/>
      <c r="N17" s="30"/>
      <c r="O17" s="156"/>
      <c r="AJ17" s="4"/>
      <c r="AO17" s="4"/>
      <c r="AT17" s="4"/>
      <c r="AY17" s="4"/>
      <c r="BD17" s="4"/>
      <c r="BF17" s="4" t="s">
        <v>20</v>
      </c>
      <c r="BH17" s="78">
        <v>9</v>
      </c>
      <c r="BI17" s="83">
        <f t="shared" si="0"/>
        <v>60.280373831775698</v>
      </c>
      <c r="BJ17" s="65">
        <f>HLOOKUP(BJ$9,$BL$9:$BP$19,BH17,FALSE)*BJ$11</f>
        <v>60.280373831775698</v>
      </c>
      <c r="BL17" s="82">
        <v>308.66666666666669</v>
      </c>
      <c r="BM17" s="82">
        <f>43*12+114*12*0</f>
        <v>516</v>
      </c>
      <c r="BN17" s="82">
        <v>220</v>
      </c>
      <c r="BO17" s="82">
        <v>580</v>
      </c>
      <c r="BP17" s="82">
        <v>308.66666666666669</v>
      </c>
      <c r="CA17" s="427"/>
      <c r="CB17" s="428"/>
      <c r="CC17" s="426">
        <f>CD17</f>
        <v>0</v>
      </c>
      <c r="CD17" s="429">
        <f t="shared" si="2"/>
        <v>0</v>
      </c>
      <c r="CE17" s="430" t="s">
        <v>22</v>
      </c>
      <c r="CF17" s="430"/>
      <c r="CG17" s="427"/>
      <c r="CH17" s="428"/>
      <c r="CI17" s="426">
        <f>CJ17</f>
        <v>0</v>
      </c>
      <c r="CJ17" s="429">
        <f t="shared" si="3"/>
        <v>0</v>
      </c>
      <c r="CK17" s="430" t="s">
        <v>22</v>
      </c>
      <c r="CL17" s="430"/>
      <c r="CM17" s="427"/>
      <c r="CN17" s="428"/>
      <c r="CO17" s="426">
        <f>CP17</f>
        <v>0</v>
      </c>
      <c r="CP17" s="429">
        <f t="shared" si="4"/>
        <v>0</v>
      </c>
      <c r="CQ17" s="430" t="s">
        <v>22</v>
      </c>
      <c r="CR17" s="430"/>
      <c r="CS17" s="427"/>
      <c r="CT17" s="428"/>
      <c r="CU17" s="426">
        <f>CV17</f>
        <v>0</v>
      </c>
      <c r="CV17" s="429">
        <f t="shared" si="5"/>
        <v>0</v>
      </c>
      <c r="CW17" s="430" t="s">
        <v>22</v>
      </c>
      <c r="CX17" s="430"/>
      <c r="CY17" s="427"/>
      <c r="CZ17" s="428"/>
      <c r="DA17" s="520" t="s">
        <v>558</v>
      </c>
      <c r="DB17" s="429"/>
      <c r="DC17" s="430"/>
      <c r="DD17" s="430"/>
    </row>
    <row r="18" spans="1:108" x14ac:dyDescent="0.2">
      <c r="C18" s="16" t="s">
        <v>25</v>
      </c>
      <c r="D18" s="427"/>
      <c r="E18" s="428"/>
      <c r="F18" s="431">
        <f>F16-F17</f>
        <v>159.81308411214954</v>
      </c>
      <c r="G18" s="429">
        <f t="shared" si="1"/>
        <v>159.81308411214954</v>
      </c>
      <c r="H18" s="430" t="s">
        <v>22</v>
      </c>
      <c r="I18" s="430"/>
      <c r="J18" s="16" t="s">
        <v>150</v>
      </c>
      <c r="K18" s="30"/>
      <c r="L18" s="30"/>
      <c r="M18" s="30"/>
      <c r="N18" s="30"/>
      <c r="O18" s="156"/>
      <c r="AJ18" s="4"/>
      <c r="AO18" s="4"/>
      <c r="AT18" s="4"/>
      <c r="AY18" s="4"/>
      <c r="BD18" s="4"/>
      <c r="BF18" s="4" t="s">
        <v>25</v>
      </c>
      <c r="BH18" s="78">
        <v>10</v>
      </c>
      <c r="BI18" s="83">
        <f t="shared" si="0"/>
        <v>159.81308411214954</v>
      </c>
      <c r="BJ18" s="65">
        <f>HLOOKUP(BJ$9,$BL$9:$BP$19,BH18,FALSE)*BJ$11</f>
        <v>159.81308411214954</v>
      </c>
      <c r="BL18" s="82">
        <v>846.33333333333326</v>
      </c>
      <c r="BM18" s="82">
        <f>43*12*0+114*12</f>
        <v>1368</v>
      </c>
      <c r="BN18" s="82">
        <f>BN16-BN17</f>
        <v>480</v>
      </c>
      <c r="BO18" s="82">
        <v>3880</v>
      </c>
      <c r="BP18" s="82">
        <v>846.33333333333326</v>
      </c>
      <c r="CA18" s="427"/>
      <c r="CB18" s="428"/>
      <c r="CC18" s="431">
        <f>CC16-CC17</f>
        <v>0</v>
      </c>
      <c r="CD18" s="429">
        <f t="shared" si="2"/>
        <v>0</v>
      </c>
      <c r="CE18" s="430" t="s">
        <v>22</v>
      </c>
      <c r="CF18" s="430"/>
      <c r="CG18" s="427"/>
      <c r="CH18" s="428"/>
      <c r="CI18" s="431">
        <f>CI16-CI17</f>
        <v>0</v>
      </c>
      <c r="CJ18" s="429">
        <f t="shared" si="3"/>
        <v>0</v>
      </c>
      <c r="CK18" s="430" t="s">
        <v>22</v>
      </c>
      <c r="CL18" s="430"/>
      <c r="CM18" s="427"/>
      <c r="CN18" s="428"/>
      <c r="CO18" s="431">
        <f>CO16-CO17</f>
        <v>0</v>
      </c>
      <c r="CP18" s="429">
        <f t="shared" si="4"/>
        <v>0</v>
      </c>
      <c r="CQ18" s="430" t="s">
        <v>22</v>
      </c>
      <c r="CR18" s="430"/>
      <c r="CS18" s="427"/>
      <c r="CT18" s="428"/>
      <c r="CU18" s="431">
        <f>CU16-CU17</f>
        <v>0</v>
      </c>
      <c r="CV18" s="429">
        <f t="shared" si="5"/>
        <v>0</v>
      </c>
      <c r="CW18" s="430" t="s">
        <v>22</v>
      </c>
      <c r="CX18" s="430"/>
      <c r="CY18" s="427"/>
      <c r="CZ18" s="428"/>
      <c r="DA18" s="520" t="s">
        <v>556</v>
      </c>
      <c r="DB18" s="429"/>
      <c r="DC18" s="430"/>
      <c r="DD18" s="430"/>
    </row>
    <row r="19" spans="1:108" x14ac:dyDescent="0.2">
      <c r="C19" s="16" t="s">
        <v>267</v>
      </c>
      <c r="D19" s="427"/>
      <c r="E19" s="432"/>
      <c r="F19" s="426">
        <f>G19</f>
        <v>114.95327102803738</v>
      </c>
      <c r="G19" s="429">
        <f t="shared" si="1"/>
        <v>114.95327102803738</v>
      </c>
      <c r="H19" s="430" t="s">
        <v>22</v>
      </c>
      <c r="I19" s="430"/>
      <c r="J19" s="16" t="s">
        <v>432</v>
      </c>
      <c r="K19" s="30"/>
      <c r="L19" s="30"/>
      <c r="M19" s="30"/>
      <c r="N19" s="30"/>
      <c r="O19" s="156"/>
      <c r="AJ19" s="4"/>
      <c r="AO19" s="4"/>
      <c r="AT19" s="4"/>
      <c r="AY19" s="4"/>
      <c r="BD19" s="4"/>
      <c r="BF19" s="4" t="s">
        <v>21</v>
      </c>
      <c r="BH19" s="78">
        <v>11</v>
      </c>
      <c r="BI19" s="83">
        <f t="shared" si="0"/>
        <v>114.95327102803738</v>
      </c>
      <c r="BJ19" s="65">
        <f>HLOOKUP(BJ$9,$BL$9:$BP$19,BH19,FALSE)*BJ$11</f>
        <v>114.95327102803738</v>
      </c>
      <c r="BL19" s="82">
        <v>703</v>
      </c>
      <c r="BM19" s="82">
        <f>82*12</f>
        <v>984</v>
      </c>
      <c r="BN19" s="82">
        <v>336</v>
      </c>
      <c r="BO19" s="82">
        <v>1024</v>
      </c>
      <c r="BP19" s="82">
        <v>703</v>
      </c>
      <c r="CA19" s="427"/>
      <c r="CB19" s="432"/>
      <c r="CC19" s="426">
        <f>CD19</f>
        <v>0</v>
      </c>
      <c r="CD19" s="429">
        <f t="shared" si="2"/>
        <v>0</v>
      </c>
      <c r="CE19" s="430" t="s">
        <v>22</v>
      </c>
      <c r="CF19" s="430"/>
      <c r="CG19" s="427"/>
      <c r="CH19" s="432"/>
      <c r="CI19" s="426">
        <f>CJ19</f>
        <v>0</v>
      </c>
      <c r="CJ19" s="429">
        <f t="shared" si="3"/>
        <v>0</v>
      </c>
      <c r="CK19" s="430" t="s">
        <v>22</v>
      </c>
      <c r="CL19" s="430"/>
      <c r="CM19" s="427"/>
      <c r="CN19" s="432"/>
      <c r="CO19" s="426">
        <f>CP19</f>
        <v>0</v>
      </c>
      <c r="CP19" s="429">
        <f t="shared" si="4"/>
        <v>0</v>
      </c>
      <c r="CQ19" s="430" t="s">
        <v>22</v>
      </c>
      <c r="CR19" s="430"/>
      <c r="CS19" s="427"/>
      <c r="CT19" s="428"/>
      <c r="CU19" s="426">
        <f>CV19</f>
        <v>0</v>
      </c>
      <c r="CV19" s="429">
        <f t="shared" si="5"/>
        <v>0</v>
      </c>
      <c r="CW19" s="430" t="s">
        <v>22</v>
      </c>
      <c r="CX19" s="430"/>
      <c r="CY19" s="427"/>
      <c r="CZ19" s="428"/>
      <c r="DA19" s="429"/>
      <c r="DB19" s="429"/>
      <c r="DC19" s="430"/>
      <c r="DD19" s="430"/>
    </row>
    <row r="20" spans="1:108" ht="3.95" customHeight="1" x14ac:dyDescent="0.2">
      <c r="C20" s="162"/>
      <c r="D20" s="433"/>
      <c r="E20" s="434"/>
      <c r="F20" s="433"/>
      <c r="G20" s="435"/>
      <c r="H20" s="436"/>
      <c r="I20" s="436"/>
      <c r="J20" s="159"/>
      <c r="K20" s="31"/>
      <c r="L20" s="31"/>
      <c r="M20" s="31"/>
      <c r="N20" s="31"/>
      <c r="O20" s="157"/>
      <c r="AJ20" s="4"/>
      <c r="AO20" s="4"/>
      <c r="AT20" s="4"/>
      <c r="AY20" s="4"/>
      <c r="BD20" s="4"/>
      <c r="BF20" s="4"/>
      <c r="BI20" s="95"/>
      <c r="BJ20" s="65"/>
      <c r="BL20" s="82"/>
      <c r="BM20" s="82"/>
      <c r="BN20" s="82"/>
      <c r="BO20" s="82"/>
      <c r="BP20" s="82"/>
      <c r="CA20" s="433"/>
      <c r="CB20" s="434"/>
      <c r="CC20" s="433"/>
      <c r="CD20" s="435"/>
      <c r="CE20" s="436"/>
      <c r="CF20" s="436"/>
      <c r="CG20" s="433"/>
      <c r="CH20" s="434"/>
      <c r="CI20" s="433"/>
      <c r="CJ20" s="435"/>
      <c r="CK20" s="436"/>
      <c r="CL20" s="436"/>
      <c r="CM20" s="433"/>
      <c r="CN20" s="434"/>
      <c r="CO20" s="433"/>
      <c r="CP20" s="435"/>
      <c r="CQ20" s="436"/>
      <c r="CR20" s="436"/>
      <c r="CS20" s="433"/>
      <c r="CT20" s="434"/>
      <c r="CU20" s="433"/>
      <c r="CV20" s="435"/>
      <c r="CW20" s="436"/>
      <c r="CX20" s="436"/>
      <c r="CY20" s="433"/>
      <c r="CZ20" s="434"/>
      <c r="DA20" s="433"/>
      <c r="DB20" s="435"/>
      <c r="DC20" s="436"/>
      <c r="DD20" s="436"/>
    </row>
    <row r="21" spans="1:108" ht="25.5" customHeight="1" x14ac:dyDescent="0.2">
      <c r="C21" s="203"/>
      <c r="D21" s="437"/>
      <c r="E21" s="438"/>
      <c r="F21" s="439"/>
      <c r="G21" s="439"/>
      <c r="H21" s="440"/>
      <c r="I21" s="437"/>
      <c r="CA21" s="437"/>
      <c r="CB21" s="438"/>
      <c r="CC21" s="439"/>
      <c r="CD21" s="439"/>
      <c r="CE21" s="440"/>
      <c r="CF21" s="437"/>
      <c r="CG21" s="437"/>
      <c r="CH21" s="438"/>
      <c r="CI21" s="439"/>
      <c r="CJ21" s="439"/>
      <c r="CK21" s="440"/>
      <c r="CL21" s="437"/>
      <c r="CM21" s="437"/>
      <c r="CN21" s="438"/>
      <c r="CO21" s="439"/>
      <c r="CP21" s="439"/>
      <c r="CQ21" s="440"/>
      <c r="CR21" s="437"/>
      <c r="CS21" s="438"/>
      <c r="CT21" s="438"/>
      <c r="CU21" s="438"/>
      <c r="CV21" s="438"/>
      <c r="CW21" s="438"/>
      <c r="CX21" s="438"/>
      <c r="CY21" s="438"/>
      <c r="CZ21" s="438"/>
      <c r="DA21" s="438"/>
      <c r="DB21" s="438"/>
      <c r="DC21" s="438"/>
      <c r="DD21" s="438"/>
    </row>
    <row r="22" spans="1:108" x14ac:dyDescent="0.2">
      <c r="C22" s="164" t="s">
        <v>199</v>
      </c>
      <c r="D22" s="441"/>
      <c r="E22" s="442"/>
      <c r="F22" s="443" t="s">
        <v>180</v>
      </c>
      <c r="G22" s="444"/>
      <c r="H22" s="445"/>
      <c r="I22" s="445"/>
      <c r="J22" s="382" t="s">
        <v>49</v>
      </c>
      <c r="K22" s="383" t="s">
        <v>37</v>
      </c>
      <c r="L22" s="384" t="s">
        <v>27</v>
      </c>
      <c r="M22" s="385" t="s">
        <v>28</v>
      </c>
      <c r="N22" s="383" t="s">
        <v>35</v>
      </c>
      <c r="O22" s="384" t="s">
        <v>36</v>
      </c>
      <c r="AB22" s="294" t="s">
        <v>49</v>
      </c>
      <c r="AC22" s="294"/>
      <c r="AD22" s="294"/>
      <c r="AE22" s="294"/>
      <c r="AF22" s="294"/>
      <c r="AG22" s="92" t="s">
        <v>37</v>
      </c>
      <c r="AH22" s="92"/>
      <c r="AI22" s="92"/>
      <c r="AJ22" s="92"/>
      <c r="AK22" s="92"/>
      <c r="AL22" s="300" t="s">
        <v>538</v>
      </c>
      <c r="AM22" s="300"/>
      <c r="AN22" s="300"/>
      <c r="AO22" s="300"/>
      <c r="AP22" s="300"/>
      <c r="AQ22" s="297" t="s">
        <v>28</v>
      </c>
      <c r="AR22" s="297"/>
      <c r="AS22" s="297"/>
      <c r="AT22" s="297"/>
      <c r="AU22" s="297"/>
      <c r="AV22" s="92" t="s">
        <v>35</v>
      </c>
      <c r="AW22" s="92"/>
      <c r="AX22" s="92"/>
      <c r="AY22" s="92"/>
      <c r="AZ22" s="92"/>
      <c r="BA22" s="300" t="s">
        <v>36</v>
      </c>
      <c r="BB22" s="300"/>
      <c r="BC22" s="300"/>
      <c r="BD22" s="300"/>
      <c r="BE22" s="300"/>
      <c r="CA22" s="441"/>
      <c r="CB22" s="442"/>
      <c r="CC22" s="443" t="s">
        <v>180</v>
      </c>
      <c r="CD22" s="444"/>
      <c r="CE22" s="445"/>
      <c r="CF22" s="445"/>
      <c r="CG22" s="441"/>
      <c r="CH22" s="442"/>
      <c r="CI22" s="443" t="s">
        <v>180</v>
      </c>
      <c r="CJ22" s="444"/>
      <c r="CK22" s="445"/>
      <c r="CL22" s="445"/>
      <c r="CM22" s="441"/>
      <c r="CN22" s="442"/>
      <c r="CO22" s="443" t="s">
        <v>180</v>
      </c>
      <c r="CP22" s="444"/>
      <c r="CQ22" s="445"/>
      <c r="CR22" s="445"/>
      <c r="CS22" s="441"/>
      <c r="CT22" s="442"/>
      <c r="CU22" s="443" t="s">
        <v>180</v>
      </c>
      <c r="CV22" s="444"/>
      <c r="CW22" s="445"/>
      <c r="CX22" s="445"/>
      <c r="CY22" s="441"/>
      <c r="CZ22" s="442"/>
      <c r="DA22" s="443"/>
      <c r="DB22" s="444"/>
      <c r="DC22" s="445"/>
      <c r="DD22" s="445"/>
    </row>
    <row r="23" spans="1:108" x14ac:dyDescent="0.2">
      <c r="C23" s="89" t="str">
        <f>$F$11</f>
        <v>2012-07-01 Voorbeeld 1</v>
      </c>
      <c r="D23" s="446"/>
      <c r="E23" s="447"/>
      <c r="F23" s="448" t="s">
        <v>148</v>
      </c>
      <c r="G23" s="449" t="s">
        <v>149</v>
      </c>
      <c r="H23" s="450"/>
      <c r="I23" s="446"/>
      <c r="J23" s="386" t="s">
        <v>402</v>
      </c>
      <c r="K23" s="387" t="str">
        <f>J23</f>
        <v>€ per 1-1-2012</v>
      </c>
      <c r="L23" s="388" t="s">
        <v>32</v>
      </c>
      <c r="M23" s="389" t="s">
        <v>33</v>
      </c>
      <c r="N23" s="387" t="s">
        <v>34</v>
      </c>
      <c r="O23" s="388" t="str">
        <f>J23</f>
        <v>€ per 1-1-2012</v>
      </c>
      <c r="AB23" s="295" t="s">
        <v>160</v>
      </c>
      <c r="AC23" s="296"/>
      <c r="AD23" s="296"/>
      <c r="AE23" s="296"/>
      <c r="AF23" s="296"/>
      <c r="AG23" s="87" t="s">
        <v>160</v>
      </c>
      <c r="AH23" s="88"/>
      <c r="AI23" s="88"/>
      <c r="AJ23" s="88"/>
      <c r="AK23" s="88"/>
      <c r="AL23" s="301" t="s">
        <v>160</v>
      </c>
      <c r="AM23" s="302"/>
      <c r="AN23" s="302"/>
      <c r="AO23" s="302"/>
      <c r="AP23" s="302"/>
      <c r="AQ23" s="298" t="s">
        <v>160</v>
      </c>
      <c r="AR23" s="299"/>
      <c r="AS23" s="299"/>
      <c r="AT23" s="299"/>
      <c r="AU23" s="299"/>
      <c r="AV23" s="87" t="s">
        <v>160</v>
      </c>
      <c r="AW23" s="88"/>
      <c r="AX23" s="88"/>
      <c r="AY23" s="88"/>
      <c r="AZ23" s="88"/>
      <c r="BA23" s="301" t="s">
        <v>160</v>
      </c>
      <c r="BB23" s="302"/>
      <c r="BC23" s="302"/>
      <c r="BD23" s="302"/>
      <c r="BE23" s="302"/>
      <c r="BF23" s="71"/>
      <c r="BG23" s="71"/>
      <c r="BH23" s="71"/>
      <c r="BI23" s="71" t="s">
        <v>148</v>
      </c>
      <c r="BJ23" s="72" t="s">
        <v>149</v>
      </c>
      <c r="BL23" s="73" t="s">
        <v>155</v>
      </c>
      <c r="BM23" s="72"/>
      <c r="BN23" s="72"/>
      <c r="BO23" s="72"/>
      <c r="BP23" s="72"/>
      <c r="BR23" s="73" t="s">
        <v>158</v>
      </c>
      <c r="BS23" s="72"/>
      <c r="BT23" s="72"/>
      <c r="BU23" s="72"/>
      <c r="BV23" s="72"/>
      <c r="CA23" s="446"/>
      <c r="CB23" s="447"/>
      <c r="CC23" s="448" t="s">
        <v>148</v>
      </c>
      <c r="CD23" s="449" t="s">
        <v>149</v>
      </c>
      <c r="CE23" s="450"/>
      <c r="CF23" s="446"/>
      <c r="CG23" s="446"/>
      <c r="CH23" s="447"/>
      <c r="CI23" s="448" t="s">
        <v>148</v>
      </c>
      <c r="CJ23" s="449" t="s">
        <v>149</v>
      </c>
      <c r="CK23" s="450"/>
      <c r="CL23" s="446"/>
      <c r="CM23" s="446"/>
      <c r="CN23" s="447"/>
      <c r="CO23" s="448" t="s">
        <v>148</v>
      </c>
      <c r="CP23" s="449" t="s">
        <v>149</v>
      </c>
      <c r="CQ23" s="450"/>
      <c r="CR23" s="446"/>
      <c r="CS23" s="446"/>
      <c r="CT23" s="447"/>
      <c r="CU23" s="448" t="s">
        <v>148</v>
      </c>
      <c r="CV23" s="449" t="s">
        <v>149</v>
      </c>
      <c r="CW23" s="450"/>
      <c r="CX23" s="446"/>
      <c r="CY23" s="446"/>
      <c r="CZ23" s="447"/>
      <c r="DA23" s="448"/>
      <c r="DB23" s="449"/>
      <c r="DC23" s="450"/>
      <c r="DD23" s="446"/>
    </row>
    <row r="24" spans="1:108" x14ac:dyDescent="0.2">
      <c r="A24" s="2" t="s">
        <v>251</v>
      </c>
      <c r="C24" s="14" t="s">
        <v>234</v>
      </c>
      <c r="D24" s="451"/>
      <c r="E24" s="452"/>
      <c r="F24" s="453"/>
      <c r="G24" s="454"/>
      <c r="H24" s="455"/>
      <c r="I24" s="456"/>
      <c r="J24" s="20"/>
      <c r="K24" s="8"/>
      <c r="L24" s="26"/>
      <c r="M24" s="11"/>
      <c r="N24" s="8"/>
      <c r="O24" s="26"/>
      <c r="AB24" s="294">
        <f>IF($BJ24=1,1,0)</f>
        <v>0</v>
      </c>
      <c r="AC24" s="294">
        <f>IF($BJ24=2,1,0)</f>
        <v>1</v>
      </c>
      <c r="AD24" s="294">
        <f>IF($BJ24=3,1,0)</f>
        <v>0</v>
      </c>
      <c r="AE24" s="294">
        <f>IF($BJ24=4,1,0)</f>
        <v>0</v>
      </c>
      <c r="AF24" s="294">
        <f>IF($BJ24=5,1,0)</f>
        <v>0</v>
      </c>
      <c r="AG24" s="92">
        <f>IF($BJ24=1,1,0)</f>
        <v>0</v>
      </c>
      <c r="AH24" s="92">
        <f>IF($BJ24=2,1,0)</f>
        <v>1</v>
      </c>
      <c r="AI24" s="92">
        <f>IF($BJ24=3,1,0)</f>
        <v>0</v>
      </c>
      <c r="AJ24" s="92">
        <f>IF($BJ24=4,1,0)</f>
        <v>0</v>
      </c>
      <c r="AK24" s="92">
        <f>IF($BJ24=5,1,0)</f>
        <v>0</v>
      </c>
      <c r="AL24" s="300">
        <f>IF($BJ24=1,1,0)</f>
        <v>0</v>
      </c>
      <c r="AM24" s="300">
        <f>IF($BJ24=2,1,0)</f>
        <v>1</v>
      </c>
      <c r="AN24" s="300">
        <f>IF($BJ24=3,1,0)</f>
        <v>0</v>
      </c>
      <c r="AO24" s="300">
        <f>IF($BJ24=4,1,0)</f>
        <v>0</v>
      </c>
      <c r="AP24" s="300">
        <f>IF($BJ24=5,1,0)</f>
        <v>0</v>
      </c>
      <c r="AQ24" s="297">
        <f>IF($BJ24=1,1,0)</f>
        <v>0</v>
      </c>
      <c r="AR24" s="297">
        <f>IF($BJ24=2,1,0)</f>
        <v>1</v>
      </c>
      <c r="AS24" s="297">
        <f>IF($BJ24=3,1,0)</f>
        <v>0</v>
      </c>
      <c r="AT24" s="297">
        <f>IF($BJ24=4,1,0)</f>
        <v>0</v>
      </c>
      <c r="AU24" s="297">
        <f>IF($BJ24=5,1,0)</f>
        <v>0</v>
      </c>
      <c r="AV24" s="92">
        <f>IF($BJ24=1,1,0)</f>
        <v>0</v>
      </c>
      <c r="AW24" s="92">
        <f>IF($BJ24=2,1,0)</f>
        <v>1</v>
      </c>
      <c r="AX24" s="92">
        <f>IF($BJ24=3,1,0)</f>
        <v>0</v>
      </c>
      <c r="AY24" s="92">
        <f>IF($BJ24=4,1,0)</f>
        <v>0</v>
      </c>
      <c r="AZ24" s="92">
        <f>IF($BJ24=5,1,0)</f>
        <v>0</v>
      </c>
      <c r="BA24" s="300">
        <f>IF($BJ24=1,1,0)</f>
        <v>0</v>
      </c>
      <c r="BB24" s="300">
        <f>IF($BJ24=2,1,0)</f>
        <v>1</v>
      </c>
      <c r="BC24" s="300">
        <f>IF($BJ24=3,1,0)</f>
        <v>0</v>
      </c>
      <c r="BD24" s="300">
        <f>IF($BJ24=4,1,0)</f>
        <v>0</v>
      </c>
      <c r="BE24" s="300">
        <f>IF($BJ24=5,1,0)</f>
        <v>0</v>
      </c>
      <c r="BF24" s="74"/>
      <c r="BG24" s="74"/>
      <c r="BH24" s="75">
        <v>1</v>
      </c>
      <c r="BI24" s="93"/>
      <c r="BJ24" s="77">
        <f>BJ9</f>
        <v>2</v>
      </c>
      <c r="BL24" s="74">
        <f>BL9</f>
        <v>1</v>
      </c>
      <c r="BM24" s="74">
        <f>BM9</f>
        <v>2</v>
      </c>
      <c r="BN24" s="74">
        <f>BN9</f>
        <v>3</v>
      </c>
      <c r="BO24" s="74">
        <f>BO9</f>
        <v>4</v>
      </c>
      <c r="BP24" s="74">
        <f>BP9</f>
        <v>5</v>
      </c>
      <c r="BR24" s="74">
        <v>1</v>
      </c>
      <c r="BS24" s="74">
        <v>2</v>
      </c>
      <c r="BT24" s="74">
        <v>3</v>
      </c>
      <c r="BU24" s="74">
        <v>4</v>
      </c>
      <c r="BV24" s="74">
        <v>5</v>
      </c>
      <c r="CA24" s="451"/>
      <c r="CB24" s="452"/>
      <c r="CC24" s="453"/>
      <c r="CD24" s="454"/>
      <c r="CE24" s="455"/>
      <c r="CF24" s="456"/>
      <c r="CG24" s="451"/>
      <c r="CH24" s="452"/>
      <c r="CI24" s="453"/>
      <c r="CJ24" s="454"/>
      <c r="CK24" s="455"/>
      <c r="CL24" s="456"/>
      <c r="CM24" s="451"/>
      <c r="CN24" s="452"/>
      <c r="CO24" s="453"/>
      <c r="CP24" s="454"/>
      <c r="CQ24" s="455"/>
      <c r="CR24" s="456"/>
      <c r="CS24" s="451"/>
      <c r="CT24" s="452"/>
      <c r="CU24" s="453"/>
      <c r="CV24" s="454"/>
      <c r="CW24" s="455"/>
      <c r="CX24" s="456"/>
      <c r="CY24" s="451"/>
      <c r="CZ24" s="452"/>
      <c r="DA24" s="453"/>
      <c r="DB24" s="454"/>
      <c r="DC24" s="455"/>
      <c r="DD24" s="456"/>
    </row>
    <row r="25" spans="1:108" x14ac:dyDescent="0.2">
      <c r="A25" s="2" t="s">
        <v>163</v>
      </c>
      <c r="C25" s="16" t="s">
        <v>51</v>
      </c>
      <c r="D25" s="427"/>
      <c r="E25" s="428"/>
      <c r="F25" s="431">
        <f>G25</f>
        <v>60.280373831775698</v>
      </c>
      <c r="G25" s="429">
        <f>BJ25</f>
        <v>60.280373831775698</v>
      </c>
      <c r="H25" s="457" t="s">
        <v>22</v>
      </c>
      <c r="I25" s="458"/>
      <c r="J25" s="6">
        <f t="shared" ref="J25:O25" si="6">SUM(J117:J120)</f>
        <v>4291.9470541106084</v>
      </c>
      <c r="K25" s="9">
        <f t="shared" si="6"/>
        <v>1105.5695119918223</v>
      </c>
      <c r="L25" s="27">
        <f t="shared" si="6"/>
        <v>4535.5778805549726</v>
      </c>
      <c r="M25" s="12">
        <f t="shared" si="6"/>
        <v>33011.192436610363</v>
      </c>
      <c r="N25" s="9">
        <f t="shared" si="6"/>
        <v>980.80091423758108</v>
      </c>
      <c r="O25" s="27">
        <f t="shared" si="6"/>
        <v>1146.9953563643348</v>
      </c>
      <c r="BF25" s="2" t="s">
        <v>0</v>
      </c>
      <c r="BG25" s="2">
        <f>BH$17</f>
        <v>9</v>
      </c>
      <c r="BH25" s="78">
        <v>2</v>
      </c>
      <c r="BI25" s="83">
        <f>BI17</f>
        <v>60.280373831775698</v>
      </c>
      <c r="BJ25" s="56">
        <f t="shared" ref="BJ25:BJ32" si="7">HLOOKUP(BJ$24,$BL$24:$BP$46,BH25,FALSE)*BJ$11</f>
        <v>60.280373831775698</v>
      </c>
      <c r="BK25" s="2" t="s">
        <v>22</v>
      </c>
      <c r="BL25" s="46">
        <f>BL17</f>
        <v>308.66666666666669</v>
      </c>
      <c r="BM25" s="46">
        <f t="shared" ref="BM25:BP25" si="8">BM17</f>
        <v>516</v>
      </c>
      <c r="BN25" s="46">
        <f t="shared" si="8"/>
        <v>220</v>
      </c>
      <c r="BO25" s="46">
        <f t="shared" si="8"/>
        <v>580</v>
      </c>
      <c r="BP25" s="46">
        <f t="shared" si="8"/>
        <v>308.66666666666669</v>
      </c>
      <c r="BR25" s="2" t="s">
        <v>29</v>
      </c>
      <c r="CA25" s="427"/>
      <c r="CB25" s="428"/>
      <c r="CC25" s="431">
        <f>CD25</f>
        <v>0</v>
      </c>
      <c r="CD25" s="429">
        <f>EG25</f>
        <v>0</v>
      </c>
      <c r="CE25" s="457" t="s">
        <v>22</v>
      </c>
      <c r="CF25" s="458"/>
      <c r="CG25" s="427"/>
      <c r="CH25" s="428"/>
      <c r="CI25" s="431">
        <f>CJ25</f>
        <v>0</v>
      </c>
      <c r="CJ25" s="429">
        <f>EM25</f>
        <v>0</v>
      </c>
      <c r="CK25" s="457" t="s">
        <v>22</v>
      </c>
      <c r="CL25" s="458"/>
      <c r="CM25" s="427"/>
      <c r="CN25" s="428"/>
      <c r="CO25" s="431">
        <f>CP25</f>
        <v>0</v>
      </c>
      <c r="CP25" s="429">
        <f>ES25</f>
        <v>0</v>
      </c>
      <c r="CQ25" s="457" t="s">
        <v>22</v>
      </c>
      <c r="CR25" s="458"/>
      <c r="CS25" s="427"/>
      <c r="CT25" s="428"/>
      <c r="CU25" s="431">
        <f>CV25</f>
        <v>0</v>
      </c>
      <c r="CV25" s="429">
        <f>EY25</f>
        <v>0</v>
      </c>
      <c r="CW25" s="457" t="s">
        <v>22</v>
      </c>
      <c r="CX25" s="458"/>
      <c r="CY25" s="427"/>
      <c r="CZ25" s="428"/>
      <c r="DA25" s="431"/>
      <c r="DB25" s="429"/>
      <c r="DC25" s="457"/>
      <c r="DD25" s="458"/>
    </row>
    <row r="26" spans="1:108" x14ac:dyDescent="0.2">
      <c r="A26" s="2" t="s">
        <v>164</v>
      </c>
      <c r="C26" s="16" t="s">
        <v>52</v>
      </c>
      <c r="D26" s="427"/>
      <c r="E26" s="428"/>
      <c r="F26" s="431">
        <f t="shared" ref="F26" si="9">G26</f>
        <v>150</v>
      </c>
      <c r="G26" s="429">
        <f t="shared" ref="G26:G32" si="10">BJ26</f>
        <v>150</v>
      </c>
      <c r="H26" s="457" t="s">
        <v>22</v>
      </c>
      <c r="I26" s="458"/>
      <c r="J26" s="6">
        <f t="shared" ref="J26:O26" si="11">SUM(J122:J126)</f>
        <v>3312.5331016573055</v>
      </c>
      <c r="K26" s="9">
        <f t="shared" si="11"/>
        <v>791.37664017832776</v>
      </c>
      <c r="L26" s="27">
        <f t="shared" si="11"/>
        <v>2170.2253576897192</v>
      </c>
      <c r="M26" s="12">
        <f t="shared" si="11"/>
        <v>31238.737125693158</v>
      </c>
      <c r="N26" s="9">
        <f t="shared" si="11"/>
        <v>258.6293871499322</v>
      </c>
      <c r="O26" s="27">
        <f t="shared" si="11"/>
        <v>204.75993991663302</v>
      </c>
      <c r="BF26" s="2" t="s">
        <v>1</v>
      </c>
      <c r="BG26" s="2">
        <f>BH$13</f>
        <v>5</v>
      </c>
      <c r="BH26" s="78">
        <v>3</v>
      </c>
      <c r="BI26" s="83">
        <f>BI13</f>
        <v>150</v>
      </c>
      <c r="BJ26" s="56">
        <f t="shared" si="7"/>
        <v>150</v>
      </c>
      <c r="BK26" s="2" t="s">
        <v>22</v>
      </c>
      <c r="BL26" s="46">
        <f>BL13</f>
        <v>926</v>
      </c>
      <c r="BM26" s="46">
        <f t="shared" ref="BM26:BP26" si="12">BM13</f>
        <v>1284</v>
      </c>
      <c r="BN26" s="46">
        <f t="shared" si="12"/>
        <v>398</v>
      </c>
      <c r="BO26" s="46">
        <f t="shared" si="12"/>
        <v>1141</v>
      </c>
      <c r="BP26" s="46">
        <f t="shared" si="12"/>
        <v>926</v>
      </c>
      <c r="CA26" s="427"/>
      <c r="CB26" s="428"/>
      <c r="CC26" s="431">
        <f t="shared" ref="CC26:CC46" si="13">CD26</f>
        <v>0</v>
      </c>
      <c r="CD26" s="429">
        <f t="shared" ref="CD26:CD32" si="14">EG26</f>
        <v>0</v>
      </c>
      <c r="CE26" s="457" t="s">
        <v>22</v>
      </c>
      <c r="CF26" s="458"/>
      <c r="CG26" s="427"/>
      <c r="CH26" s="428"/>
      <c r="CI26" s="431">
        <f t="shared" ref="CI26:CI46" si="15">CJ26</f>
        <v>0</v>
      </c>
      <c r="CJ26" s="429">
        <f t="shared" ref="CJ26:CJ32" si="16">EM26</f>
        <v>0</v>
      </c>
      <c r="CK26" s="457" t="s">
        <v>22</v>
      </c>
      <c r="CL26" s="458"/>
      <c r="CM26" s="427"/>
      <c r="CN26" s="428"/>
      <c r="CO26" s="431">
        <f t="shared" ref="CO26:CO46" si="17">CP26</f>
        <v>0</v>
      </c>
      <c r="CP26" s="429">
        <f t="shared" ref="CP26:CP32" si="18">ES26</f>
        <v>0</v>
      </c>
      <c r="CQ26" s="457" t="s">
        <v>22</v>
      </c>
      <c r="CR26" s="458"/>
      <c r="CS26" s="427"/>
      <c r="CT26" s="428"/>
      <c r="CU26" s="431">
        <f t="shared" ref="CU26" si="19">CV26</f>
        <v>0</v>
      </c>
      <c r="CV26" s="429">
        <f t="shared" ref="CV26:CV32" si="20">EY26</f>
        <v>0</v>
      </c>
      <c r="CW26" s="457" t="s">
        <v>22</v>
      </c>
      <c r="CX26" s="458"/>
      <c r="CY26" s="427"/>
      <c r="CZ26" s="428"/>
      <c r="DA26" s="431"/>
      <c r="DB26" s="429"/>
      <c r="DC26" s="457"/>
      <c r="DD26" s="458"/>
    </row>
    <row r="27" spans="1:108" x14ac:dyDescent="0.2">
      <c r="A27" s="2" t="s">
        <v>165</v>
      </c>
      <c r="C27" s="16" t="s">
        <v>239</v>
      </c>
      <c r="D27" s="427"/>
      <c r="E27" s="428"/>
      <c r="F27" s="426">
        <f>G27</f>
        <v>60.280373831775698</v>
      </c>
      <c r="G27" s="429">
        <f t="shared" si="10"/>
        <v>60.280373831775698</v>
      </c>
      <c r="H27" s="459" t="s">
        <v>22</v>
      </c>
      <c r="I27" s="460"/>
      <c r="J27" s="6">
        <f>SUM(J128:J130)</f>
        <v>0</v>
      </c>
      <c r="K27" s="9">
        <f t="shared" ref="K27:O27" si="21">SUM(K128:K130)</f>
        <v>0</v>
      </c>
      <c r="L27" s="27">
        <f t="shared" si="21"/>
        <v>0</v>
      </c>
      <c r="M27" s="12">
        <f t="shared" si="21"/>
        <v>0</v>
      </c>
      <c r="N27" s="9">
        <f t="shared" si="21"/>
        <v>0</v>
      </c>
      <c r="O27" s="27">
        <f t="shared" si="21"/>
        <v>0</v>
      </c>
      <c r="BF27" s="2" t="s">
        <v>3</v>
      </c>
      <c r="BG27" s="2">
        <f>BH$17</f>
        <v>9</v>
      </c>
      <c r="BH27" s="78">
        <v>4</v>
      </c>
      <c r="BI27" s="94">
        <f>F27</f>
        <v>60.280373831775698</v>
      </c>
      <c r="BJ27" s="56">
        <f t="shared" si="7"/>
        <v>60.280373831775698</v>
      </c>
      <c r="BK27" s="2" t="s">
        <v>22</v>
      </c>
      <c r="BL27" s="46">
        <f>436/309*BL17</f>
        <v>435.52966558791803</v>
      </c>
      <c r="BM27" s="46">
        <f>516/516*BM17</f>
        <v>516</v>
      </c>
      <c r="BN27" s="46">
        <v>265</v>
      </c>
      <c r="BO27" s="46">
        <f>624/580*BO17</f>
        <v>624</v>
      </c>
      <c r="BP27" s="46">
        <f t="shared" ref="BP27" si="22">436/309*BP17</f>
        <v>435.52966558791803</v>
      </c>
      <c r="CA27" s="427"/>
      <c r="CB27" s="428"/>
      <c r="CC27" s="426">
        <f>CD27</f>
        <v>0</v>
      </c>
      <c r="CD27" s="429">
        <f t="shared" si="14"/>
        <v>0</v>
      </c>
      <c r="CE27" s="459" t="s">
        <v>22</v>
      </c>
      <c r="CF27" s="460"/>
      <c r="CG27" s="427"/>
      <c r="CH27" s="428"/>
      <c r="CI27" s="426">
        <f>CJ27</f>
        <v>0</v>
      </c>
      <c r="CJ27" s="429">
        <f t="shared" si="16"/>
        <v>0</v>
      </c>
      <c r="CK27" s="459" t="s">
        <v>22</v>
      </c>
      <c r="CL27" s="460"/>
      <c r="CM27" s="427"/>
      <c r="CN27" s="428"/>
      <c r="CO27" s="426">
        <f>CP27</f>
        <v>0</v>
      </c>
      <c r="CP27" s="429">
        <f t="shared" si="18"/>
        <v>0</v>
      </c>
      <c r="CQ27" s="459" t="s">
        <v>22</v>
      </c>
      <c r="CR27" s="460"/>
      <c r="CS27" s="427"/>
      <c r="CT27" s="428"/>
      <c r="CU27" s="426">
        <f>CV27</f>
        <v>0</v>
      </c>
      <c r="CV27" s="429">
        <f t="shared" si="20"/>
        <v>0</v>
      </c>
      <c r="CW27" s="459" t="s">
        <v>22</v>
      </c>
      <c r="CX27" s="460"/>
      <c r="CY27" s="427"/>
      <c r="CZ27" s="428"/>
      <c r="DA27" s="426"/>
      <c r="DB27" s="429"/>
      <c r="DC27" s="459"/>
      <c r="DD27" s="460"/>
    </row>
    <row r="28" spans="1:108" x14ac:dyDescent="0.2">
      <c r="A28" s="2" t="s">
        <v>166</v>
      </c>
      <c r="C28" s="16" t="s">
        <v>240</v>
      </c>
      <c r="D28" s="427"/>
      <c r="E28" s="428"/>
      <c r="F28" s="426">
        <f>G28</f>
        <v>130.37383177570092</v>
      </c>
      <c r="G28" s="429">
        <f t="shared" si="10"/>
        <v>130.37383177570092</v>
      </c>
      <c r="H28" s="459" t="s">
        <v>22</v>
      </c>
      <c r="I28" s="460"/>
      <c r="J28" s="6">
        <f t="shared" ref="J28:O28" si="23">SUM(J132:J134)</f>
        <v>29818.308595347131</v>
      </c>
      <c r="K28" s="9">
        <f t="shared" si="23"/>
        <v>8102.9728093483363</v>
      </c>
      <c r="L28" s="27">
        <f t="shared" si="23"/>
        <v>17939.202224727807</v>
      </c>
      <c r="M28" s="12">
        <f t="shared" si="23"/>
        <v>207431.10158177107</v>
      </c>
      <c r="N28" s="9">
        <f t="shared" si="23"/>
        <v>6761.9614327546496</v>
      </c>
      <c r="O28" s="27">
        <f t="shared" si="23"/>
        <v>2376.9213022464928</v>
      </c>
      <c r="BF28" s="2" t="s">
        <v>4</v>
      </c>
      <c r="BG28" s="2">
        <f>BH$13</f>
        <v>5</v>
      </c>
      <c r="BH28" s="78">
        <v>5</v>
      </c>
      <c r="BI28" s="94">
        <f>F28</f>
        <v>130.37383177570092</v>
      </c>
      <c r="BJ28" s="56">
        <f t="shared" si="7"/>
        <v>130.37383177570092</v>
      </c>
      <c r="BK28" s="2" t="s">
        <v>22</v>
      </c>
      <c r="BL28" s="46">
        <f>507/926*BL13</f>
        <v>506.99999999999994</v>
      </c>
      <c r="BM28" s="46">
        <f>1116/1284*BM13</f>
        <v>1116</v>
      </c>
      <c r="BN28" s="46">
        <f>335+159</f>
        <v>494</v>
      </c>
      <c r="BO28" s="46">
        <f>1390/1141*BO13</f>
        <v>1390</v>
      </c>
      <c r="BP28" s="46">
        <f t="shared" ref="BP28" si="24">507/926*BP13</f>
        <v>506.99999999999994</v>
      </c>
      <c r="CA28" s="427"/>
      <c r="CB28" s="428"/>
      <c r="CC28" s="426">
        <f>CD28</f>
        <v>0</v>
      </c>
      <c r="CD28" s="429">
        <f t="shared" si="14"/>
        <v>0</v>
      </c>
      <c r="CE28" s="459" t="s">
        <v>22</v>
      </c>
      <c r="CF28" s="460"/>
      <c r="CG28" s="427"/>
      <c r="CH28" s="428"/>
      <c r="CI28" s="426">
        <f>CJ28</f>
        <v>0</v>
      </c>
      <c r="CJ28" s="429">
        <f t="shared" si="16"/>
        <v>0</v>
      </c>
      <c r="CK28" s="459" t="s">
        <v>22</v>
      </c>
      <c r="CL28" s="460"/>
      <c r="CM28" s="427"/>
      <c r="CN28" s="428"/>
      <c r="CO28" s="426">
        <f>CP28</f>
        <v>0</v>
      </c>
      <c r="CP28" s="429">
        <f t="shared" si="18"/>
        <v>0</v>
      </c>
      <c r="CQ28" s="459" t="s">
        <v>22</v>
      </c>
      <c r="CR28" s="460"/>
      <c r="CS28" s="427"/>
      <c r="CT28" s="428"/>
      <c r="CU28" s="426">
        <f>CV28</f>
        <v>0</v>
      </c>
      <c r="CV28" s="429">
        <f t="shared" si="20"/>
        <v>0</v>
      </c>
      <c r="CW28" s="459" t="s">
        <v>22</v>
      </c>
      <c r="CX28" s="460"/>
      <c r="CY28" s="427"/>
      <c r="CZ28" s="428"/>
      <c r="DA28" s="426"/>
      <c r="DB28" s="429"/>
      <c r="DC28" s="459"/>
      <c r="DD28" s="460"/>
    </row>
    <row r="29" spans="1:108" x14ac:dyDescent="0.2">
      <c r="A29" s="2" t="s">
        <v>167</v>
      </c>
      <c r="C29" s="16" t="s">
        <v>237</v>
      </c>
      <c r="D29" s="427"/>
      <c r="E29" s="428"/>
      <c r="F29" s="431">
        <f t="shared" ref="F29:F32" si="25">G29</f>
        <v>150</v>
      </c>
      <c r="G29" s="429">
        <f t="shared" si="10"/>
        <v>150</v>
      </c>
      <c r="H29" s="457" t="s">
        <v>22</v>
      </c>
      <c r="I29" s="458"/>
      <c r="J29" s="6">
        <f t="shared" ref="J29:O29" si="26">SUM(J136:J138)</f>
        <v>8813.4262205599171</v>
      </c>
      <c r="K29" s="9">
        <f t="shared" si="26"/>
        <v>1508.7543177588209</v>
      </c>
      <c r="L29" s="27">
        <f t="shared" si="26"/>
        <v>6832.222528970131</v>
      </c>
      <c r="M29" s="12">
        <f t="shared" si="26"/>
        <v>73732.597953217206</v>
      </c>
      <c r="N29" s="9">
        <f t="shared" si="26"/>
        <v>3255.6091738318646</v>
      </c>
      <c r="O29" s="27">
        <f t="shared" si="26"/>
        <v>379.20335047020592</v>
      </c>
      <c r="BF29" s="2" t="s">
        <v>5</v>
      </c>
      <c r="BG29" s="2">
        <f>BH$13</f>
        <v>5</v>
      </c>
      <c r="BH29" s="78">
        <v>6</v>
      </c>
      <c r="BI29" s="83">
        <f>BI$13</f>
        <v>150</v>
      </c>
      <c r="BJ29" s="56">
        <f t="shared" si="7"/>
        <v>150</v>
      </c>
      <c r="BK29" s="2" t="s">
        <v>22</v>
      </c>
      <c r="BL29" s="46">
        <f>BL13</f>
        <v>926</v>
      </c>
      <c r="BM29" s="46">
        <f t="shared" ref="BM29:BP29" si="27">BM13</f>
        <v>1284</v>
      </c>
      <c r="BN29" s="46">
        <f t="shared" si="27"/>
        <v>398</v>
      </c>
      <c r="BO29" s="46">
        <f t="shared" si="27"/>
        <v>1141</v>
      </c>
      <c r="BP29" s="46">
        <f t="shared" si="27"/>
        <v>926</v>
      </c>
      <c r="CA29" s="427"/>
      <c r="CB29" s="428"/>
      <c r="CC29" s="431">
        <f t="shared" si="13"/>
        <v>0</v>
      </c>
      <c r="CD29" s="429">
        <f t="shared" si="14"/>
        <v>0</v>
      </c>
      <c r="CE29" s="457" t="s">
        <v>22</v>
      </c>
      <c r="CF29" s="458"/>
      <c r="CG29" s="427"/>
      <c r="CH29" s="428"/>
      <c r="CI29" s="431">
        <f t="shared" si="15"/>
        <v>0</v>
      </c>
      <c r="CJ29" s="429">
        <f t="shared" si="16"/>
        <v>0</v>
      </c>
      <c r="CK29" s="457" t="s">
        <v>22</v>
      </c>
      <c r="CL29" s="458"/>
      <c r="CM29" s="427"/>
      <c r="CN29" s="428"/>
      <c r="CO29" s="431">
        <f t="shared" si="17"/>
        <v>0</v>
      </c>
      <c r="CP29" s="429">
        <f t="shared" si="18"/>
        <v>0</v>
      </c>
      <c r="CQ29" s="457" t="s">
        <v>22</v>
      </c>
      <c r="CR29" s="458"/>
      <c r="CS29" s="427"/>
      <c r="CT29" s="428"/>
      <c r="CU29" s="431">
        <f t="shared" ref="CU29:CU32" si="28">CV29</f>
        <v>0</v>
      </c>
      <c r="CV29" s="429">
        <f t="shared" si="20"/>
        <v>0</v>
      </c>
      <c r="CW29" s="457" t="s">
        <v>22</v>
      </c>
      <c r="CX29" s="458"/>
      <c r="CY29" s="427"/>
      <c r="CZ29" s="428"/>
      <c r="DA29" s="431"/>
      <c r="DB29" s="429"/>
      <c r="DC29" s="457"/>
      <c r="DD29" s="458"/>
    </row>
    <row r="30" spans="1:108" x14ac:dyDescent="0.2">
      <c r="A30" s="2" t="s">
        <v>168</v>
      </c>
      <c r="C30" s="16" t="s">
        <v>55</v>
      </c>
      <c r="D30" s="427"/>
      <c r="E30" s="428"/>
      <c r="F30" s="431">
        <f t="shared" si="25"/>
        <v>150</v>
      </c>
      <c r="G30" s="429">
        <f t="shared" si="10"/>
        <v>150</v>
      </c>
      <c r="H30" s="457" t="s">
        <v>22</v>
      </c>
      <c r="I30" s="458"/>
      <c r="J30" s="6">
        <f t="shared" ref="J30:O30" si="29">SUM(J140:J142)</f>
        <v>2954.6018130773323</v>
      </c>
      <c r="K30" s="9">
        <f t="shared" si="29"/>
        <v>429.36602803565864</v>
      </c>
      <c r="L30" s="27">
        <f t="shared" si="29"/>
        <v>1628.209009361515</v>
      </c>
      <c r="M30" s="12">
        <f t="shared" si="29"/>
        <v>18880.022383328287</v>
      </c>
      <c r="N30" s="9">
        <f t="shared" si="29"/>
        <v>549.7953644855902</v>
      </c>
      <c r="O30" s="27">
        <f t="shared" si="29"/>
        <v>136.08623831703756</v>
      </c>
      <c r="BF30" s="2" t="s">
        <v>6</v>
      </c>
      <c r="BG30" s="2">
        <f>BH$13</f>
        <v>5</v>
      </c>
      <c r="BH30" s="78">
        <v>7</v>
      </c>
      <c r="BI30" s="83">
        <f t="shared" ref="BI30:BI32" si="30">BI$13</f>
        <v>150</v>
      </c>
      <c r="BJ30" s="56">
        <f t="shared" si="7"/>
        <v>150</v>
      </c>
      <c r="BK30" s="2" t="s">
        <v>22</v>
      </c>
      <c r="BL30" s="46">
        <f>BL13</f>
        <v>926</v>
      </c>
      <c r="BM30" s="46">
        <f t="shared" ref="BM30:BP30" si="31">BM13</f>
        <v>1284</v>
      </c>
      <c r="BN30" s="46">
        <f t="shared" si="31"/>
        <v>398</v>
      </c>
      <c r="BO30" s="46">
        <f t="shared" si="31"/>
        <v>1141</v>
      </c>
      <c r="BP30" s="46">
        <f t="shared" si="31"/>
        <v>926</v>
      </c>
      <c r="CA30" s="427"/>
      <c r="CB30" s="428"/>
      <c r="CC30" s="431">
        <f t="shared" si="13"/>
        <v>0</v>
      </c>
      <c r="CD30" s="429">
        <f t="shared" si="14"/>
        <v>0</v>
      </c>
      <c r="CE30" s="457" t="s">
        <v>22</v>
      </c>
      <c r="CF30" s="458"/>
      <c r="CG30" s="427"/>
      <c r="CH30" s="428"/>
      <c r="CI30" s="431">
        <f t="shared" si="15"/>
        <v>0</v>
      </c>
      <c r="CJ30" s="429">
        <f t="shared" si="16"/>
        <v>0</v>
      </c>
      <c r="CK30" s="457" t="s">
        <v>22</v>
      </c>
      <c r="CL30" s="458"/>
      <c r="CM30" s="427"/>
      <c r="CN30" s="428"/>
      <c r="CO30" s="431">
        <f t="shared" si="17"/>
        <v>0</v>
      </c>
      <c r="CP30" s="429">
        <f t="shared" si="18"/>
        <v>0</v>
      </c>
      <c r="CQ30" s="457" t="s">
        <v>22</v>
      </c>
      <c r="CR30" s="458"/>
      <c r="CS30" s="427"/>
      <c r="CT30" s="428"/>
      <c r="CU30" s="431">
        <f t="shared" si="28"/>
        <v>0</v>
      </c>
      <c r="CV30" s="429">
        <f t="shared" si="20"/>
        <v>0</v>
      </c>
      <c r="CW30" s="457" t="s">
        <v>22</v>
      </c>
      <c r="CX30" s="458"/>
      <c r="CY30" s="427"/>
      <c r="CZ30" s="428"/>
      <c r="DA30" s="431"/>
      <c r="DB30" s="429"/>
      <c r="DC30" s="457"/>
      <c r="DD30" s="458"/>
    </row>
    <row r="31" spans="1:108" x14ac:dyDescent="0.2">
      <c r="A31" s="2" t="s">
        <v>169</v>
      </c>
      <c r="C31" s="16" t="s">
        <v>238</v>
      </c>
      <c r="D31" s="427"/>
      <c r="E31" s="428"/>
      <c r="F31" s="431">
        <f t="shared" si="25"/>
        <v>150</v>
      </c>
      <c r="G31" s="429">
        <f t="shared" si="10"/>
        <v>150</v>
      </c>
      <c r="H31" s="457" t="s">
        <v>22</v>
      </c>
      <c r="I31" s="458"/>
      <c r="J31" s="6">
        <f t="shared" ref="J31:O31" si="32">SUM(J144:J146)</f>
        <v>0</v>
      </c>
      <c r="K31" s="9">
        <f t="shared" si="32"/>
        <v>0</v>
      </c>
      <c r="L31" s="27">
        <f t="shared" si="32"/>
        <v>0</v>
      </c>
      <c r="M31" s="12">
        <f t="shared" si="32"/>
        <v>0</v>
      </c>
      <c r="N31" s="9">
        <f t="shared" si="32"/>
        <v>0</v>
      </c>
      <c r="O31" s="27">
        <f t="shared" si="32"/>
        <v>0</v>
      </c>
      <c r="BF31" s="2" t="s">
        <v>7</v>
      </c>
      <c r="BG31" s="2">
        <f>BH$13</f>
        <v>5</v>
      </c>
      <c r="BH31" s="78">
        <v>8</v>
      </c>
      <c r="BI31" s="83">
        <f t="shared" si="30"/>
        <v>150</v>
      </c>
      <c r="BJ31" s="56">
        <f t="shared" si="7"/>
        <v>150</v>
      </c>
      <c r="BK31" s="2" t="s">
        <v>22</v>
      </c>
      <c r="BL31" s="46">
        <f>BL13</f>
        <v>926</v>
      </c>
      <c r="BM31" s="46">
        <f t="shared" ref="BM31:BP31" si="33">BM13</f>
        <v>1284</v>
      </c>
      <c r="BN31" s="46">
        <f t="shared" si="33"/>
        <v>398</v>
      </c>
      <c r="BO31" s="46">
        <f t="shared" si="33"/>
        <v>1141</v>
      </c>
      <c r="BP31" s="46">
        <f t="shared" si="33"/>
        <v>926</v>
      </c>
      <c r="CA31" s="427"/>
      <c r="CB31" s="428"/>
      <c r="CC31" s="431">
        <f t="shared" si="13"/>
        <v>0</v>
      </c>
      <c r="CD31" s="429">
        <f t="shared" si="14"/>
        <v>0</v>
      </c>
      <c r="CE31" s="457" t="s">
        <v>22</v>
      </c>
      <c r="CF31" s="458"/>
      <c r="CG31" s="427"/>
      <c r="CH31" s="428"/>
      <c r="CI31" s="431">
        <f t="shared" si="15"/>
        <v>0</v>
      </c>
      <c r="CJ31" s="429">
        <f t="shared" si="16"/>
        <v>0</v>
      </c>
      <c r="CK31" s="457" t="s">
        <v>22</v>
      </c>
      <c r="CL31" s="458"/>
      <c r="CM31" s="427"/>
      <c r="CN31" s="428"/>
      <c r="CO31" s="431">
        <f t="shared" si="17"/>
        <v>0</v>
      </c>
      <c r="CP31" s="429">
        <f t="shared" si="18"/>
        <v>0</v>
      </c>
      <c r="CQ31" s="457" t="s">
        <v>22</v>
      </c>
      <c r="CR31" s="458"/>
      <c r="CS31" s="427"/>
      <c r="CT31" s="428"/>
      <c r="CU31" s="431">
        <f t="shared" si="28"/>
        <v>0</v>
      </c>
      <c r="CV31" s="429">
        <f t="shared" si="20"/>
        <v>0</v>
      </c>
      <c r="CW31" s="457" t="s">
        <v>22</v>
      </c>
      <c r="CX31" s="458"/>
      <c r="CY31" s="427"/>
      <c r="CZ31" s="428"/>
      <c r="DA31" s="431"/>
      <c r="DB31" s="429"/>
      <c r="DC31" s="457"/>
      <c r="DD31" s="458"/>
    </row>
    <row r="32" spans="1:108" x14ac:dyDescent="0.2">
      <c r="A32" s="2" t="s">
        <v>170</v>
      </c>
      <c r="C32" s="16" t="s">
        <v>56</v>
      </c>
      <c r="D32" s="427"/>
      <c r="E32" s="428"/>
      <c r="F32" s="431">
        <f t="shared" si="25"/>
        <v>150</v>
      </c>
      <c r="G32" s="429">
        <f t="shared" si="10"/>
        <v>150</v>
      </c>
      <c r="H32" s="457" t="s">
        <v>22</v>
      </c>
      <c r="I32" s="458"/>
      <c r="J32" s="6">
        <f t="shared" ref="J32:O32" si="34">SUM(J148)</f>
        <v>638.41121495325842</v>
      </c>
      <c r="K32" s="9">
        <f t="shared" si="34"/>
        <v>210.95327102415345</v>
      </c>
      <c r="L32" s="27">
        <f t="shared" si="34"/>
        <v>605.65794393350586</v>
      </c>
      <c r="M32" s="12">
        <f t="shared" si="34"/>
        <v>12072.63364500034</v>
      </c>
      <c r="N32" s="9">
        <f t="shared" si="34"/>
        <v>64.951401866644744</v>
      </c>
      <c r="O32" s="27">
        <f t="shared" si="34"/>
        <v>54.403738319957476</v>
      </c>
      <c r="BF32" s="2" t="s">
        <v>8</v>
      </c>
      <c r="BG32" s="2">
        <f>BH$13</f>
        <v>5</v>
      </c>
      <c r="BH32" s="78">
        <v>9</v>
      </c>
      <c r="BI32" s="83">
        <f t="shared" si="30"/>
        <v>150</v>
      </c>
      <c r="BJ32" s="56">
        <f t="shared" si="7"/>
        <v>150</v>
      </c>
      <c r="BK32" s="2" t="s">
        <v>22</v>
      </c>
      <c r="BL32" s="46">
        <f>BL13</f>
        <v>926</v>
      </c>
      <c r="BM32" s="46">
        <f t="shared" ref="BM32:BP32" si="35">BM13</f>
        <v>1284</v>
      </c>
      <c r="BN32" s="46">
        <f t="shared" si="35"/>
        <v>398</v>
      </c>
      <c r="BO32" s="46">
        <f t="shared" si="35"/>
        <v>1141</v>
      </c>
      <c r="BP32" s="46">
        <f t="shared" si="35"/>
        <v>926</v>
      </c>
      <c r="CA32" s="427"/>
      <c r="CB32" s="428"/>
      <c r="CC32" s="431">
        <f t="shared" si="13"/>
        <v>0</v>
      </c>
      <c r="CD32" s="429">
        <f t="shared" si="14"/>
        <v>0</v>
      </c>
      <c r="CE32" s="457" t="s">
        <v>22</v>
      </c>
      <c r="CF32" s="458"/>
      <c r="CG32" s="427"/>
      <c r="CH32" s="428"/>
      <c r="CI32" s="431">
        <f t="shared" si="15"/>
        <v>0</v>
      </c>
      <c r="CJ32" s="429">
        <f t="shared" si="16"/>
        <v>0</v>
      </c>
      <c r="CK32" s="457" t="s">
        <v>22</v>
      </c>
      <c r="CL32" s="458"/>
      <c r="CM32" s="427"/>
      <c r="CN32" s="428"/>
      <c r="CO32" s="431">
        <f t="shared" si="17"/>
        <v>0</v>
      </c>
      <c r="CP32" s="429">
        <f t="shared" si="18"/>
        <v>0</v>
      </c>
      <c r="CQ32" s="457" t="s">
        <v>22</v>
      </c>
      <c r="CR32" s="458"/>
      <c r="CS32" s="427"/>
      <c r="CT32" s="428"/>
      <c r="CU32" s="431">
        <f t="shared" si="28"/>
        <v>0</v>
      </c>
      <c r="CV32" s="429">
        <f t="shared" si="20"/>
        <v>0</v>
      </c>
      <c r="CW32" s="457" t="s">
        <v>22</v>
      </c>
      <c r="CX32" s="458"/>
      <c r="CY32" s="427"/>
      <c r="CZ32" s="428"/>
      <c r="DA32" s="431"/>
      <c r="DB32" s="429"/>
      <c r="DC32" s="457"/>
      <c r="DD32" s="458"/>
    </row>
    <row r="33" spans="1:108" x14ac:dyDescent="0.2">
      <c r="A33" s="2" t="s">
        <v>252</v>
      </c>
      <c r="C33" s="15" t="s">
        <v>42</v>
      </c>
      <c r="D33" s="461"/>
      <c r="E33" s="428"/>
      <c r="F33" s="431"/>
      <c r="G33" s="429"/>
      <c r="H33" s="457"/>
      <c r="I33" s="458"/>
      <c r="J33" s="6"/>
      <c r="K33" s="9"/>
      <c r="L33" s="27"/>
      <c r="M33" s="12"/>
      <c r="N33" s="9"/>
      <c r="O33" s="27"/>
      <c r="BH33" s="78">
        <v>10</v>
      </c>
      <c r="BI33" s="83"/>
      <c r="BJ33" s="56"/>
      <c r="BL33" s="46"/>
      <c r="BM33" s="46"/>
      <c r="BN33" s="46"/>
      <c r="BO33" s="46"/>
      <c r="BP33" s="46"/>
      <c r="CA33" s="461"/>
      <c r="CB33" s="428"/>
      <c r="CC33" s="431"/>
      <c r="CD33" s="429"/>
      <c r="CE33" s="457"/>
      <c r="CF33" s="458"/>
      <c r="CG33" s="461"/>
      <c r="CH33" s="428"/>
      <c r="CI33" s="431"/>
      <c r="CJ33" s="429"/>
      <c r="CK33" s="457"/>
      <c r="CL33" s="458"/>
      <c r="CM33" s="461"/>
      <c r="CN33" s="428"/>
      <c r="CO33" s="431"/>
      <c r="CP33" s="429"/>
      <c r="CQ33" s="457"/>
      <c r="CR33" s="458"/>
      <c r="CS33" s="461"/>
      <c r="CT33" s="428"/>
      <c r="CU33" s="431"/>
      <c r="CV33" s="429"/>
      <c r="CW33" s="457"/>
      <c r="CX33" s="458"/>
      <c r="CY33" s="461"/>
      <c r="CZ33" s="428"/>
      <c r="DA33" s="431"/>
      <c r="DB33" s="429"/>
      <c r="DC33" s="457"/>
      <c r="DD33" s="458"/>
    </row>
    <row r="34" spans="1:108" x14ac:dyDescent="0.2">
      <c r="A34" s="2" t="s">
        <v>171</v>
      </c>
      <c r="C34" s="16" t="s">
        <v>9</v>
      </c>
      <c r="D34" s="427"/>
      <c r="E34" s="428"/>
      <c r="F34" s="431">
        <f t="shared" ref="F34:F37" si="36">G34</f>
        <v>150</v>
      </c>
      <c r="G34" s="429">
        <f t="shared" ref="G34:G37" si="37">BJ34</f>
        <v>150</v>
      </c>
      <c r="H34" s="457" t="s">
        <v>22</v>
      </c>
      <c r="I34" s="458"/>
      <c r="J34" s="6">
        <f t="shared" ref="J34:O34" si="38">SUM(J151:J154)</f>
        <v>4144.5982500008768</v>
      </c>
      <c r="K34" s="9">
        <f t="shared" si="38"/>
        <v>426.39600000144355</v>
      </c>
      <c r="L34" s="27">
        <f t="shared" si="38"/>
        <v>655.3724999995211</v>
      </c>
      <c r="M34" s="12">
        <f t="shared" si="38"/>
        <v>12982.435500006977</v>
      </c>
      <c r="N34" s="9">
        <f t="shared" si="38"/>
        <v>106.84537500067677</v>
      </c>
      <c r="O34" s="27">
        <f t="shared" si="38"/>
        <v>769.71901500111244</v>
      </c>
      <c r="BF34" s="2" t="s">
        <v>9</v>
      </c>
      <c r="BG34" s="2">
        <f>BH$13</f>
        <v>5</v>
      </c>
      <c r="BH34" s="78">
        <v>11</v>
      </c>
      <c r="BI34" s="83">
        <f t="shared" ref="BI34:BI37" si="39">BI$13</f>
        <v>150</v>
      </c>
      <c r="BJ34" s="56">
        <f>HLOOKUP(BJ$24,$BL$24:$BP$46,BH34,FALSE)*BJ$11</f>
        <v>150</v>
      </c>
      <c r="BK34" s="2" t="s">
        <v>22</v>
      </c>
      <c r="BL34" s="46">
        <f>BL13</f>
        <v>926</v>
      </c>
      <c r="BM34" s="46">
        <f t="shared" ref="BM34:BP34" si="40">BM13</f>
        <v>1284</v>
      </c>
      <c r="BN34" s="46">
        <f t="shared" si="40"/>
        <v>398</v>
      </c>
      <c r="BO34" s="46">
        <f t="shared" si="40"/>
        <v>1141</v>
      </c>
      <c r="BP34" s="46">
        <f t="shared" si="40"/>
        <v>926</v>
      </c>
      <c r="CA34" s="427"/>
      <c r="CB34" s="428"/>
      <c r="CC34" s="431">
        <f t="shared" si="13"/>
        <v>0</v>
      </c>
      <c r="CD34" s="429">
        <f t="shared" ref="CD34:CD37" si="41">EG34</f>
        <v>0</v>
      </c>
      <c r="CE34" s="457" t="s">
        <v>22</v>
      </c>
      <c r="CF34" s="458"/>
      <c r="CG34" s="427"/>
      <c r="CH34" s="428"/>
      <c r="CI34" s="431">
        <f t="shared" si="15"/>
        <v>0</v>
      </c>
      <c r="CJ34" s="429">
        <f t="shared" ref="CJ34:CJ37" si="42">EM34</f>
        <v>0</v>
      </c>
      <c r="CK34" s="457" t="s">
        <v>22</v>
      </c>
      <c r="CL34" s="458"/>
      <c r="CM34" s="427"/>
      <c r="CN34" s="428"/>
      <c r="CO34" s="431">
        <f t="shared" si="17"/>
        <v>0</v>
      </c>
      <c r="CP34" s="429">
        <f t="shared" ref="CP34:CP37" si="43">ES34</f>
        <v>0</v>
      </c>
      <c r="CQ34" s="457" t="s">
        <v>22</v>
      </c>
      <c r="CR34" s="458"/>
      <c r="CS34" s="427"/>
      <c r="CT34" s="428"/>
      <c r="CU34" s="431">
        <f t="shared" ref="CU34:CU37" si="44">CV34</f>
        <v>0</v>
      </c>
      <c r="CV34" s="429">
        <f t="shared" ref="CV34:CV37" si="45">EY34</f>
        <v>0</v>
      </c>
      <c r="CW34" s="457" t="s">
        <v>22</v>
      </c>
      <c r="CX34" s="458"/>
      <c r="CY34" s="427"/>
      <c r="CZ34" s="428"/>
      <c r="DA34" s="431"/>
      <c r="DB34" s="429"/>
      <c r="DC34" s="457"/>
      <c r="DD34" s="458"/>
    </row>
    <row r="35" spans="1:108" x14ac:dyDescent="0.2">
      <c r="A35" s="2" t="s">
        <v>172</v>
      </c>
      <c r="C35" s="16" t="s">
        <v>10</v>
      </c>
      <c r="D35" s="427"/>
      <c r="E35" s="428"/>
      <c r="F35" s="431">
        <f t="shared" si="36"/>
        <v>150</v>
      </c>
      <c r="G35" s="429">
        <f t="shared" si="37"/>
        <v>150</v>
      </c>
      <c r="H35" s="457" t="s">
        <v>22</v>
      </c>
      <c r="I35" s="458"/>
      <c r="J35" s="6">
        <f t="shared" ref="J35:O35" si="46">SUM(J156:J159)</f>
        <v>8982</v>
      </c>
      <c r="K35" s="9">
        <f t="shared" si="46"/>
        <v>1322.3589101921048</v>
      </c>
      <c r="L35" s="27">
        <f t="shared" si="46"/>
        <v>3474.3268184967587</v>
      </c>
      <c r="M35" s="12">
        <f t="shared" si="46"/>
        <v>53051.384720661401</v>
      </c>
      <c r="N35" s="9">
        <f t="shared" si="46"/>
        <v>353.65942023436173</v>
      </c>
      <c r="O35" s="27">
        <f t="shared" si="46"/>
        <v>1406.052394872464</v>
      </c>
      <c r="BF35" s="2" t="s">
        <v>10</v>
      </c>
      <c r="BG35" s="2">
        <f>BH$13</f>
        <v>5</v>
      </c>
      <c r="BH35" s="78">
        <v>12</v>
      </c>
      <c r="BI35" s="83">
        <f t="shared" si="39"/>
        <v>150</v>
      </c>
      <c r="BJ35" s="56">
        <f>HLOOKUP(BJ$24,$BL$24:$BP$46,BH35,FALSE)*BJ$11</f>
        <v>150</v>
      </c>
      <c r="BK35" s="2" t="s">
        <v>22</v>
      </c>
      <c r="BL35" s="46">
        <f>BL13</f>
        <v>926</v>
      </c>
      <c r="BM35" s="46">
        <f t="shared" ref="BM35:BP35" si="47">BM13</f>
        <v>1284</v>
      </c>
      <c r="BN35" s="46">
        <f t="shared" si="47"/>
        <v>398</v>
      </c>
      <c r="BO35" s="46">
        <f t="shared" si="47"/>
        <v>1141</v>
      </c>
      <c r="BP35" s="46">
        <f t="shared" si="47"/>
        <v>926</v>
      </c>
      <c r="CA35" s="427"/>
      <c r="CB35" s="428"/>
      <c r="CC35" s="431">
        <f t="shared" si="13"/>
        <v>0</v>
      </c>
      <c r="CD35" s="429">
        <f t="shared" si="41"/>
        <v>0</v>
      </c>
      <c r="CE35" s="457" t="s">
        <v>22</v>
      </c>
      <c r="CF35" s="458"/>
      <c r="CG35" s="427"/>
      <c r="CH35" s="428"/>
      <c r="CI35" s="431">
        <f t="shared" si="15"/>
        <v>0</v>
      </c>
      <c r="CJ35" s="429">
        <f t="shared" si="42"/>
        <v>0</v>
      </c>
      <c r="CK35" s="457" t="s">
        <v>22</v>
      </c>
      <c r="CL35" s="458"/>
      <c r="CM35" s="427"/>
      <c r="CN35" s="428"/>
      <c r="CO35" s="431">
        <f t="shared" si="17"/>
        <v>0</v>
      </c>
      <c r="CP35" s="429">
        <f t="shared" si="43"/>
        <v>0</v>
      </c>
      <c r="CQ35" s="457" t="s">
        <v>22</v>
      </c>
      <c r="CR35" s="458"/>
      <c r="CS35" s="427"/>
      <c r="CT35" s="428"/>
      <c r="CU35" s="431">
        <f t="shared" si="44"/>
        <v>0</v>
      </c>
      <c r="CV35" s="429">
        <f t="shared" si="45"/>
        <v>0</v>
      </c>
      <c r="CW35" s="457" t="s">
        <v>22</v>
      </c>
      <c r="CX35" s="458"/>
      <c r="CY35" s="427"/>
      <c r="CZ35" s="428"/>
      <c r="DA35" s="431"/>
      <c r="DB35" s="429"/>
      <c r="DC35" s="457"/>
      <c r="DD35" s="458"/>
    </row>
    <row r="36" spans="1:108" x14ac:dyDescent="0.2">
      <c r="A36" s="2" t="s">
        <v>173</v>
      </c>
      <c r="C36" s="16" t="s">
        <v>11</v>
      </c>
      <c r="D36" s="427"/>
      <c r="E36" s="428"/>
      <c r="F36" s="431">
        <f t="shared" si="36"/>
        <v>150</v>
      </c>
      <c r="G36" s="429">
        <f t="shared" si="37"/>
        <v>150</v>
      </c>
      <c r="H36" s="457" t="s">
        <v>22</v>
      </c>
      <c r="I36" s="458"/>
      <c r="J36" s="6">
        <f t="shared" ref="J36:O36" si="48">SUM(J161:J166)</f>
        <v>5823.5027550022323</v>
      </c>
      <c r="K36" s="9">
        <f t="shared" si="48"/>
        <v>842.12677499984352</v>
      </c>
      <c r="L36" s="27">
        <f t="shared" si="48"/>
        <v>2004.9964800012276</v>
      </c>
      <c r="M36" s="12">
        <f t="shared" si="48"/>
        <v>32878.14419999886</v>
      </c>
      <c r="N36" s="9">
        <f t="shared" si="48"/>
        <v>257.65847999998641</v>
      </c>
      <c r="O36" s="27">
        <f t="shared" si="48"/>
        <v>1418.8184789997479</v>
      </c>
      <c r="BF36" s="2" t="s">
        <v>11</v>
      </c>
      <c r="BG36" s="2">
        <f>BH$13</f>
        <v>5</v>
      </c>
      <c r="BH36" s="78">
        <v>13</v>
      </c>
      <c r="BI36" s="83">
        <f t="shared" si="39"/>
        <v>150</v>
      </c>
      <c r="BJ36" s="56">
        <f>HLOOKUP(BJ$24,$BL$24:$BP$46,BH36,FALSE)*BJ$11</f>
        <v>150</v>
      </c>
      <c r="BK36" s="2" t="s">
        <v>22</v>
      </c>
      <c r="BL36" s="46">
        <f>BL13</f>
        <v>926</v>
      </c>
      <c r="BM36" s="46">
        <f t="shared" ref="BM36:BP36" si="49">BM13</f>
        <v>1284</v>
      </c>
      <c r="BN36" s="46">
        <f t="shared" si="49"/>
        <v>398</v>
      </c>
      <c r="BO36" s="46">
        <f t="shared" si="49"/>
        <v>1141</v>
      </c>
      <c r="BP36" s="46">
        <f t="shared" si="49"/>
        <v>926</v>
      </c>
      <c r="CA36" s="427"/>
      <c r="CB36" s="428"/>
      <c r="CC36" s="431">
        <f t="shared" si="13"/>
        <v>0</v>
      </c>
      <c r="CD36" s="429">
        <f t="shared" si="41"/>
        <v>0</v>
      </c>
      <c r="CE36" s="457" t="s">
        <v>22</v>
      </c>
      <c r="CF36" s="458"/>
      <c r="CG36" s="427"/>
      <c r="CH36" s="428"/>
      <c r="CI36" s="431">
        <f t="shared" si="15"/>
        <v>0</v>
      </c>
      <c r="CJ36" s="429">
        <f t="shared" si="42"/>
        <v>0</v>
      </c>
      <c r="CK36" s="457" t="s">
        <v>22</v>
      </c>
      <c r="CL36" s="458"/>
      <c r="CM36" s="427"/>
      <c r="CN36" s="428"/>
      <c r="CO36" s="431">
        <f t="shared" si="17"/>
        <v>0</v>
      </c>
      <c r="CP36" s="429">
        <f t="shared" si="43"/>
        <v>0</v>
      </c>
      <c r="CQ36" s="457" t="s">
        <v>22</v>
      </c>
      <c r="CR36" s="458"/>
      <c r="CS36" s="427"/>
      <c r="CT36" s="428"/>
      <c r="CU36" s="431">
        <f t="shared" si="44"/>
        <v>0</v>
      </c>
      <c r="CV36" s="429">
        <f t="shared" si="45"/>
        <v>0</v>
      </c>
      <c r="CW36" s="457" t="s">
        <v>22</v>
      </c>
      <c r="CX36" s="458"/>
      <c r="CY36" s="427"/>
      <c r="CZ36" s="428"/>
      <c r="DA36" s="431"/>
      <c r="DB36" s="429"/>
      <c r="DC36" s="457"/>
      <c r="DD36" s="458"/>
    </row>
    <row r="37" spans="1:108" x14ac:dyDescent="0.2">
      <c r="A37" s="2" t="s">
        <v>174</v>
      </c>
      <c r="C37" s="16" t="s">
        <v>12</v>
      </c>
      <c r="D37" s="427"/>
      <c r="E37" s="428"/>
      <c r="F37" s="431">
        <f t="shared" si="36"/>
        <v>150</v>
      </c>
      <c r="G37" s="429">
        <f t="shared" si="37"/>
        <v>150</v>
      </c>
      <c r="H37" s="457" t="s">
        <v>22</v>
      </c>
      <c r="I37" s="458"/>
      <c r="J37" s="6">
        <f t="shared" ref="J37:O37" si="50">SUM(J168)</f>
        <v>0</v>
      </c>
      <c r="K37" s="9">
        <f t="shared" si="50"/>
        <v>0</v>
      </c>
      <c r="L37" s="27">
        <f t="shared" si="50"/>
        <v>0</v>
      </c>
      <c r="M37" s="12">
        <f t="shared" si="50"/>
        <v>0</v>
      </c>
      <c r="N37" s="9">
        <f t="shared" si="50"/>
        <v>0</v>
      </c>
      <c r="O37" s="27">
        <f t="shared" si="50"/>
        <v>0</v>
      </c>
      <c r="BF37" s="2" t="s">
        <v>12</v>
      </c>
      <c r="BG37" s="2">
        <f>BH$13</f>
        <v>5</v>
      </c>
      <c r="BH37" s="78">
        <v>14</v>
      </c>
      <c r="BI37" s="83">
        <f t="shared" si="39"/>
        <v>150</v>
      </c>
      <c r="BJ37" s="56">
        <f>HLOOKUP(BJ$24,$BL$24:$BP$46,BH37,FALSE)*BJ$11</f>
        <v>150</v>
      </c>
      <c r="BK37" s="2" t="s">
        <v>22</v>
      </c>
      <c r="BL37" s="46">
        <f>BL13</f>
        <v>926</v>
      </c>
      <c r="BM37" s="46">
        <f t="shared" ref="BM37:BP37" si="51">BM13</f>
        <v>1284</v>
      </c>
      <c r="BN37" s="46">
        <f t="shared" si="51"/>
        <v>398</v>
      </c>
      <c r="BO37" s="46">
        <f t="shared" si="51"/>
        <v>1141</v>
      </c>
      <c r="BP37" s="46">
        <f t="shared" si="51"/>
        <v>926</v>
      </c>
      <c r="CA37" s="427"/>
      <c r="CB37" s="428"/>
      <c r="CC37" s="431">
        <f t="shared" si="13"/>
        <v>0</v>
      </c>
      <c r="CD37" s="429">
        <f t="shared" si="41"/>
        <v>0</v>
      </c>
      <c r="CE37" s="457" t="s">
        <v>22</v>
      </c>
      <c r="CF37" s="458"/>
      <c r="CG37" s="427"/>
      <c r="CH37" s="428"/>
      <c r="CI37" s="431">
        <f t="shared" si="15"/>
        <v>0</v>
      </c>
      <c r="CJ37" s="429">
        <f t="shared" si="42"/>
        <v>0</v>
      </c>
      <c r="CK37" s="457" t="s">
        <v>22</v>
      </c>
      <c r="CL37" s="458"/>
      <c r="CM37" s="427"/>
      <c r="CN37" s="428"/>
      <c r="CO37" s="431">
        <f t="shared" si="17"/>
        <v>0</v>
      </c>
      <c r="CP37" s="429">
        <f t="shared" si="43"/>
        <v>0</v>
      </c>
      <c r="CQ37" s="457" t="s">
        <v>22</v>
      </c>
      <c r="CR37" s="458"/>
      <c r="CS37" s="427"/>
      <c r="CT37" s="428"/>
      <c r="CU37" s="431">
        <f t="shared" si="44"/>
        <v>0</v>
      </c>
      <c r="CV37" s="429">
        <f t="shared" si="45"/>
        <v>0</v>
      </c>
      <c r="CW37" s="457" t="s">
        <v>22</v>
      </c>
      <c r="CX37" s="458"/>
      <c r="CY37" s="427"/>
      <c r="CZ37" s="428"/>
      <c r="DA37" s="431"/>
      <c r="DB37" s="429"/>
      <c r="DC37" s="457"/>
      <c r="DD37" s="458"/>
    </row>
    <row r="38" spans="1:108" x14ac:dyDescent="0.2">
      <c r="A38" s="2" t="s">
        <v>253</v>
      </c>
      <c r="C38" s="15" t="s">
        <v>235</v>
      </c>
      <c r="D38" s="461"/>
      <c r="E38" s="428"/>
      <c r="F38" s="431"/>
      <c r="G38" s="429"/>
      <c r="H38" s="457"/>
      <c r="I38" s="458"/>
      <c r="J38" s="6"/>
      <c r="K38" s="9"/>
      <c r="L38" s="27"/>
      <c r="M38" s="12"/>
      <c r="N38" s="9"/>
      <c r="O38" s="27"/>
      <c r="BH38" s="78">
        <v>15</v>
      </c>
      <c r="BI38" s="83"/>
      <c r="BJ38" s="56"/>
      <c r="BL38" s="46"/>
      <c r="BM38" s="46"/>
      <c r="BN38" s="46"/>
      <c r="BO38" s="46"/>
      <c r="BP38" s="46"/>
      <c r="CA38" s="461"/>
      <c r="CB38" s="428"/>
      <c r="CC38" s="431"/>
      <c r="CD38" s="429"/>
      <c r="CE38" s="457"/>
      <c r="CF38" s="458"/>
      <c r="CG38" s="461"/>
      <c r="CH38" s="428"/>
      <c r="CI38" s="431"/>
      <c r="CJ38" s="429"/>
      <c r="CK38" s="457"/>
      <c r="CL38" s="458"/>
      <c r="CM38" s="461"/>
      <c r="CN38" s="428"/>
      <c r="CO38" s="431"/>
      <c r="CP38" s="429"/>
      <c r="CQ38" s="457"/>
      <c r="CR38" s="458"/>
      <c r="CS38" s="461"/>
      <c r="CT38" s="428"/>
      <c r="CU38" s="431"/>
      <c r="CV38" s="429"/>
      <c r="CW38" s="457"/>
      <c r="CX38" s="458"/>
      <c r="CY38" s="461"/>
      <c r="CZ38" s="428"/>
      <c r="DA38" s="431"/>
      <c r="DB38" s="429"/>
      <c r="DC38" s="457"/>
      <c r="DD38" s="458"/>
    </row>
    <row r="39" spans="1:108" x14ac:dyDescent="0.2">
      <c r="A39" s="2" t="s">
        <v>175</v>
      </c>
      <c r="C39" s="16" t="s">
        <v>242</v>
      </c>
      <c r="D39" s="427"/>
      <c r="E39" s="428"/>
      <c r="F39" s="431">
        <f t="shared" ref="F39" si="52">G39</f>
        <v>150</v>
      </c>
      <c r="G39" s="429">
        <f>BJ39</f>
        <v>150</v>
      </c>
      <c r="H39" s="457" t="s">
        <v>22</v>
      </c>
      <c r="I39" s="458"/>
      <c r="J39" s="6">
        <f t="shared" ref="J39:O39" si="53">SUM(J171)</f>
        <v>4917.4992000007478</v>
      </c>
      <c r="K39" s="9">
        <f t="shared" si="53"/>
        <v>685.74674999999843</v>
      </c>
      <c r="L39" s="27">
        <f t="shared" si="53"/>
        <v>2317.0766999997795</v>
      </c>
      <c r="M39" s="12">
        <f t="shared" si="53"/>
        <v>37117.436250005267</v>
      </c>
      <c r="N39" s="9">
        <f t="shared" si="53"/>
        <v>497.01419999998961</v>
      </c>
      <c r="O39" s="27">
        <f t="shared" si="53"/>
        <v>475.6234349998067</v>
      </c>
      <c r="BF39" s="2" t="s">
        <v>14</v>
      </c>
      <c r="BG39" s="2">
        <f>BH$13</f>
        <v>5</v>
      </c>
      <c r="BH39" s="78">
        <v>16</v>
      </c>
      <c r="BI39" s="83">
        <f>BI$13</f>
        <v>150</v>
      </c>
      <c r="BJ39" s="56">
        <f>HLOOKUP(BJ$24,$BL$24:$BP$46,BH39,FALSE)*BJ$11</f>
        <v>150</v>
      </c>
      <c r="BK39" s="2" t="s">
        <v>22</v>
      </c>
      <c r="BL39" s="46">
        <f>BL13</f>
        <v>926</v>
      </c>
      <c r="BM39" s="46">
        <f t="shared" ref="BM39:BP39" si="54">BM13</f>
        <v>1284</v>
      </c>
      <c r="BN39" s="46">
        <f t="shared" si="54"/>
        <v>398</v>
      </c>
      <c r="BO39" s="46">
        <f t="shared" si="54"/>
        <v>1141</v>
      </c>
      <c r="BP39" s="46">
        <f t="shared" si="54"/>
        <v>926</v>
      </c>
      <c r="CA39" s="427"/>
      <c r="CB39" s="428"/>
      <c r="CC39" s="431">
        <f t="shared" si="13"/>
        <v>0</v>
      </c>
      <c r="CD39" s="429">
        <f>EG39</f>
        <v>0</v>
      </c>
      <c r="CE39" s="457" t="s">
        <v>22</v>
      </c>
      <c r="CF39" s="458"/>
      <c r="CG39" s="427"/>
      <c r="CH39" s="428"/>
      <c r="CI39" s="431">
        <f t="shared" si="15"/>
        <v>0</v>
      </c>
      <c r="CJ39" s="429">
        <f>EM39</f>
        <v>0</v>
      </c>
      <c r="CK39" s="457" t="s">
        <v>22</v>
      </c>
      <c r="CL39" s="458"/>
      <c r="CM39" s="427"/>
      <c r="CN39" s="428"/>
      <c r="CO39" s="431">
        <f t="shared" si="17"/>
        <v>0</v>
      </c>
      <c r="CP39" s="429">
        <f>ES39</f>
        <v>0</v>
      </c>
      <c r="CQ39" s="457" t="s">
        <v>22</v>
      </c>
      <c r="CR39" s="458"/>
      <c r="CS39" s="427"/>
      <c r="CT39" s="428"/>
      <c r="CU39" s="431">
        <f t="shared" ref="CU39" si="55">CV39</f>
        <v>0</v>
      </c>
      <c r="CV39" s="429">
        <f>EY39</f>
        <v>0</v>
      </c>
      <c r="CW39" s="457" t="s">
        <v>22</v>
      </c>
      <c r="CX39" s="458"/>
      <c r="CY39" s="427"/>
      <c r="CZ39" s="428"/>
      <c r="DA39" s="431"/>
      <c r="DB39" s="429"/>
      <c r="DC39" s="457"/>
      <c r="DD39" s="458"/>
    </row>
    <row r="40" spans="1:108" x14ac:dyDescent="0.2">
      <c r="A40" s="2" t="s">
        <v>254</v>
      </c>
      <c r="C40" s="15" t="s">
        <v>59</v>
      </c>
      <c r="D40" s="461"/>
      <c r="E40" s="428"/>
      <c r="F40" s="431"/>
      <c r="G40" s="429"/>
      <c r="H40" s="457"/>
      <c r="I40" s="458"/>
      <c r="J40" s="6"/>
      <c r="K40" s="9"/>
      <c r="L40" s="27"/>
      <c r="M40" s="12"/>
      <c r="N40" s="9"/>
      <c r="O40" s="27"/>
      <c r="BH40" s="78">
        <v>17</v>
      </c>
      <c r="BI40" s="83"/>
      <c r="BJ40" s="56"/>
      <c r="BL40" s="46"/>
      <c r="BM40" s="46"/>
      <c r="BN40" s="46"/>
      <c r="BO40" s="46"/>
      <c r="BP40" s="46"/>
      <c r="CA40" s="461"/>
      <c r="CB40" s="428"/>
      <c r="CC40" s="431"/>
      <c r="CD40" s="429"/>
      <c r="CE40" s="457"/>
      <c r="CF40" s="458"/>
      <c r="CG40" s="461"/>
      <c r="CH40" s="428"/>
      <c r="CI40" s="431"/>
      <c r="CJ40" s="429"/>
      <c r="CK40" s="457"/>
      <c r="CL40" s="458"/>
      <c r="CM40" s="461"/>
      <c r="CN40" s="428"/>
      <c r="CO40" s="431"/>
      <c r="CP40" s="429"/>
      <c r="CQ40" s="457"/>
      <c r="CR40" s="458"/>
      <c r="CS40" s="461"/>
      <c r="CT40" s="428"/>
      <c r="CU40" s="431"/>
      <c r="CV40" s="429"/>
      <c r="CW40" s="457"/>
      <c r="CX40" s="458"/>
      <c r="CY40" s="461"/>
      <c r="CZ40" s="428"/>
      <c r="DA40" s="431"/>
      <c r="DB40" s="429"/>
      <c r="DC40" s="457"/>
      <c r="DD40" s="458"/>
    </row>
    <row r="41" spans="1:108" x14ac:dyDescent="0.2">
      <c r="A41" s="2" t="s">
        <v>176</v>
      </c>
      <c r="C41" s="16" t="s">
        <v>59</v>
      </c>
      <c r="D41" s="427"/>
      <c r="E41" s="428"/>
      <c r="F41" s="431">
        <f t="shared" ref="F41" si="56">G41</f>
        <v>159.81308411214954</v>
      </c>
      <c r="G41" s="429">
        <f>BJ41</f>
        <v>159.81308411214954</v>
      </c>
      <c r="H41" s="457" t="s">
        <v>22</v>
      </c>
      <c r="I41" s="458"/>
      <c r="J41" s="6">
        <f t="shared" ref="J41:O41" si="57">SUM(J174)</f>
        <v>0</v>
      </c>
      <c r="K41" s="9">
        <f t="shared" si="57"/>
        <v>0</v>
      </c>
      <c r="L41" s="27">
        <f t="shared" si="57"/>
        <v>0</v>
      </c>
      <c r="M41" s="12">
        <f t="shared" si="57"/>
        <v>0</v>
      </c>
      <c r="N41" s="9">
        <f t="shared" si="57"/>
        <v>0</v>
      </c>
      <c r="O41" s="27">
        <f t="shared" si="57"/>
        <v>0</v>
      </c>
      <c r="BF41" s="2" t="s">
        <v>13</v>
      </c>
      <c r="BG41" s="2">
        <f>BH$18</f>
        <v>10</v>
      </c>
      <c r="BH41" s="78">
        <v>18</v>
      </c>
      <c r="BI41" s="83">
        <f>BI18</f>
        <v>159.81308411214954</v>
      </c>
      <c r="BJ41" s="56">
        <f>HLOOKUP(BJ$24,$BL$24:$BP$46,BH41,FALSE)*BJ$11</f>
        <v>159.81308411214954</v>
      </c>
      <c r="BK41" s="2" t="s">
        <v>22</v>
      </c>
      <c r="BL41" s="46">
        <f>BL18</f>
        <v>846.33333333333326</v>
      </c>
      <c r="BM41" s="46">
        <f t="shared" ref="BM41:BP41" si="58">BM18</f>
        <v>1368</v>
      </c>
      <c r="BN41" s="46">
        <f t="shared" si="58"/>
        <v>480</v>
      </c>
      <c r="BO41" s="46">
        <f t="shared" si="58"/>
        <v>3880</v>
      </c>
      <c r="BP41" s="46">
        <f t="shared" si="58"/>
        <v>846.33333333333326</v>
      </c>
      <c r="CA41" s="427"/>
      <c r="CB41" s="428"/>
      <c r="CC41" s="431">
        <f t="shared" si="13"/>
        <v>0</v>
      </c>
      <c r="CD41" s="429">
        <f>EG41</f>
        <v>0</v>
      </c>
      <c r="CE41" s="457" t="s">
        <v>22</v>
      </c>
      <c r="CF41" s="458"/>
      <c r="CG41" s="427"/>
      <c r="CH41" s="428"/>
      <c r="CI41" s="431">
        <f t="shared" si="15"/>
        <v>0</v>
      </c>
      <c r="CJ41" s="429">
        <f>EM41</f>
        <v>0</v>
      </c>
      <c r="CK41" s="457" t="s">
        <v>22</v>
      </c>
      <c r="CL41" s="458"/>
      <c r="CM41" s="427"/>
      <c r="CN41" s="428"/>
      <c r="CO41" s="431">
        <f t="shared" si="17"/>
        <v>0</v>
      </c>
      <c r="CP41" s="429">
        <f>ES41</f>
        <v>0</v>
      </c>
      <c r="CQ41" s="457" t="s">
        <v>22</v>
      </c>
      <c r="CR41" s="458"/>
      <c r="CS41" s="427"/>
      <c r="CT41" s="428"/>
      <c r="CU41" s="431">
        <f t="shared" ref="CU41" si="59">CV41</f>
        <v>0</v>
      </c>
      <c r="CV41" s="429">
        <f>EY41</f>
        <v>0</v>
      </c>
      <c r="CW41" s="457" t="s">
        <v>22</v>
      </c>
      <c r="CX41" s="458"/>
      <c r="CY41" s="427"/>
      <c r="CZ41" s="428"/>
      <c r="DA41" s="431"/>
      <c r="DB41" s="429"/>
      <c r="DC41" s="457"/>
      <c r="DD41" s="458"/>
    </row>
    <row r="42" spans="1:108" x14ac:dyDescent="0.2">
      <c r="A42" s="2" t="s">
        <v>255</v>
      </c>
      <c r="C42" s="15" t="s">
        <v>236</v>
      </c>
      <c r="D42" s="461"/>
      <c r="E42" s="428"/>
      <c r="F42" s="431"/>
      <c r="G42" s="429"/>
      <c r="H42" s="457"/>
      <c r="I42" s="458"/>
      <c r="J42" s="6"/>
      <c r="K42" s="9"/>
      <c r="L42" s="27"/>
      <c r="M42" s="12"/>
      <c r="N42" s="9"/>
      <c r="O42" s="27"/>
      <c r="BH42" s="78">
        <v>19</v>
      </c>
      <c r="BI42" s="83"/>
      <c r="BJ42" s="56"/>
      <c r="BL42" s="46"/>
      <c r="BM42" s="46"/>
      <c r="BN42" s="46"/>
      <c r="BO42" s="46"/>
      <c r="BP42" s="46"/>
      <c r="CA42" s="461"/>
      <c r="CB42" s="428"/>
      <c r="CC42" s="431"/>
      <c r="CD42" s="429"/>
      <c r="CE42" s="457"/>
      <c r="CF42" s="458"/>
      <c r="CG42" s="461"/>
      <c r="CH42" s="428"/>
      <c r="CI42" s="431"/>
      <c r="CJ42" s="429"/>
      <c r="CK42" s="457"/>
      <c r="CL42" s="458"/>
      <c r="CM42" s="461"/>
      <c r="CN42" s="428"/>
      <c r="CO42" s="431"/>
      <c r="CP42" s="429"/>
      <c r="CQ42" s="457"/>
      <c r="CR42" s="458"/>
      <c r="CS42" s="461"/>
      <c r="CT42" s="428"/>
      <c r="CU42" s="431"/>
      <c r="CV42" s="429"/>
      <c r="CW42" s="457"/>
      <c r="CX42" s="458"/>
      <c r="CY42" s="461"/>
      <c r="CZ42" s="428"/>
      <c r="DA42" s="431"/>
      <c r="DB42" s="429"/>
      <c r="DC42" s="457"/>
      <c r="DD42" s="458"/>
    </row>
    <row r="43" spans="1:108" x14ac:dyDescent="0.2">
      <c r="A43" s="2" t="s">
        <v>177</v>
      </c>
      <c r="C43" s="159" t="s">
        <v>236</v>
      </c>
      <c r="D43" s="462"/>
      <c r="E43" s="434"/>
      <c r="F43" s="433">
        <f t="shared" ref="F43" si="60">G43</f>
        <v>150</v>
      </c>
      <c r="G43" s="435">
        <f>BJ43</f>
        <v>150</v>
      </c>
      <c r="H43" s="436" t="s">
        <v>22</v>
      </c>
      <c r="I43" s="463"/>
      <c r="J43" s="7">
        <f t="shared" ref="J43:O43" si="61">SUM(J177)</f>
        <v>0</v>
      </c>
      <c r="K43" s="10">
        <f t="shared" si="61"/>
        <v>0</v>
      </c>
      <c r="L43" s="28">
        <f t="shared" si="61"/>
        <v>0</v>
      </c>
      <c r="M43" s="13">
        <f t="shared" si="61"/>
        <v>0</v>
      </c>
      <c r="N43" s="10">
        <f t="shared" si="61"/>
        <v>0</v>
      </c>
      <c r="O43" s="28">
        <f t="shared" si="61"/>
        <v>0</v>
      </c>
      <c r="AB43" s="74" t="s">
        <v>285</v>
      </c>
      <c r="AC43" s="74" t="s">
        <v>281</v>
      </c>
      <c r="AD43" s="74" t="s">
        <v>282</v>
      </c>
      <c r="AE43" s="74" t="s">
        <v>283</v>
      </c>
      <c r="AF43" s="74" t="s">
        <v>284</v>
      </c>
      <c r="BF43" s="2" t="s">
        <v>15</v>
      </c>
      <c r="BG43" s="2">
        <f>BH$13</f>
        <v>5</v>
      </c>
      <c r="BH43" s="78">
        <v>20</v>
      </c>
      <c r="BI43" s="83">
        <f>BI$13</f>
        <v>150</v>
      </c>
      <c r="BJ43" s="56">
        <f>HLOOKUP(BJ$24,$BL$24:$BP$46,BH43,FALSE)*BJ$11</f>
        <v>150</v>
      </c>
      <c r="BK43" s="2" t="s">
        <v>22</v>
      </c>
      <c r="BL43" s="46">
        <f>BL13</f>
        <v>926</v>
      </c>
      <c r="BM43" s="46">
        <f t="shared" ref="BM43:BP43" si="62">BM13</f>
        <v>1284</v>
      </c>
      <c r="BN43" s="46">
        <f t="shared" si="62"/>
        <v>398</v>
      </c>
      <c r="BO43" s="46">
        <f t="shared" si="62"/>
        <v>1141</v>
      </c>
      <c r="BP43" s="46">
        <f t="shared" si="62"/>
        <v>926</v>
      </c>
      <c r="CA43" s="462"/>
      <c r="CB43" s="434"/>
      <c r="CC43" s="433">
        <f t="shared" si="13"/>
        <v>0</v>
      </c>
      <c r="CD43" s="435">
        <f>EG43</f>
        <v>0</v>
      </c>
      <c r="CE43" s="436" t="s">
        <v>22</v>
      </c>
      <c r="CF43" s="463"/>
      <c r="CG43" s="462"/>
      <c r="CH43" s="434"/>
      <c r="CI43" s="433">
        <f t="shared" si="15"/>
        <v>0</v>
      </c>
      <c r="CJ43" s="435">
        <f>EM43</f>
        <v>0</v>
      </c>
      <c r="CK43" s="436" t="s">
        <v>22</v>
      </c>
      <c r="CL43" s="463"/>
      <c r="CM43" s="462"/>
      <c r="CN43" s="434"/>
      <c r="CO43" s="433">
        <f t="shared" si="17"/>
        <v>0</v>
      </c>
      <c r="CP43" s="435">
        <f>ES43</f>
        <v>0</v>
      </c>
      <c r="CQ43" s="436" t="s">
        <v>22</v>
      </c>
      <c r="CR43" s="463"/>
      <c r="CS43" s="462"/>
      <c r="CT43" s="434"/>
      <c r="CU43" s="433">
        <f t="shared" ref="CU43" si="63">CV43</f>
        <v>0</v>
      </c>
      <c r="CV43" s="435">
        <f>EY43</f>
        <v>0</v>
      </c>
      <c r="CW43" s="436" t="s">
        <v>22</v>
      </c>
      <c r="CX43" s="463"/>
      <c r="CY43" s="462"/>
      <c r="CZ43" s="434"/>
      <c r="DA43" s="433"/>
      <c r="DB43" s="435"/>
      <c r="DC43" s="436"/>
      <c r="DD43" s="463"/>
    </row>
    <row r="44" spans="1:108" ht="6" customHeight="1" x14ac:dyDescent="0.2">
      <c r="C44" s="203"/>
      <c r="D44" s="437"/>
      <c r="E44" s="464"/>
      <c r="F44" s="464"/>
      <c r="G44" s="465"/>
      <c r="H44" s="440"/>
      <c r="I44" s="437"/>
      <c r="BH44" s="78">
        <v>21</v>
      </c>
      <c r="BI44" s="84"/>
      <c r="BJ44" s="56"/>
      <c r="BL44" s="46"/>
      <c r="BM44" s="46"/>
      <c r="BN44" s="46"/>
      <c r="BO44" s="46"/>
      <c r="BP44" s="46"/>
      <c r="CA44" s="437"/>
      <c r="CB44" s="464"/>
      <c r="CC44" s="464"/>
      <c r="CD44" s="465"/>
      <c r="CE44" s="440"/>
      <c r="CF44" s="437"/>
      <c r="CG44" s="437"/>
      <c r="CH44" s="464"/>
      <c r="CI44" s="464"/>
      <c r="CJ44" s="465"/>
      <c r="CK44" s="440"/>
      <c r="CL44" s="437"/>
      <c r="CM44" s="437"/>
      <c r="CN44" s="464"/>
      <c r="CO44" s="464"/>
      <c r="CP44" s="465"/>
      <c r="CQ44" s="440"/>
      <c r="CR44" s="437"/>
      <c r="CS44" s="437"/>
      <c r="CT44" s="464"/>
      <c r="CU44" s="464"/>
      <c r="CV44" s="465"/>
      <c r="CW44" s="440"/>
      <c r="CX44" s="437"/>
      <c r="CY44" s="437"/>
      <c r="CZ44" s="464"/>
      <c r="DA44" s="464"/>
      <c r="DB44" s="465"/>
      <c r="DC44" s="440"/>
      <c r="DD44" s="437"/>
    </row>
    <row r="45" spans="1:108" ht="12.75" customHeight="1" x14ac:dyDescent="0.2">
      <c r="C45" s="188" t="s">
        <v>287</v>
      </c>
      <c r="D45" s="466"/>
      <c r="E45" s="452"/>
      <c r="F45" s="453">
        <f t="shared" ref="F45:F46" si="64">G45</f>
        <v>150</v>
      </c>
      <c r="G45" s="454">
        <f t="shared" ref="G45:G46" si="65">BJ45</f>
        <v>150</v>
      </c>
      <c r="H45" s="455" t="s">
        <v>22</v>
      </c>
      <c r="I45" s="456"/>
      <c r="J45" s="20">
        <f>SUM(J24:J43)</f>
        <v>73696.828204709411</v>
      </c>
      <c r="K45" s="8">
        <f t="shared" ref="K45:O45" si="66">SUM(K24:K43)</f>
        <v>15425.621013530508</v>
      </c>
      <c r="L45" s="26">
        <f t="shared" si="66"/>
        <v>42162.867443734933</v>
      </c>
      <c r="M45" s="11">
        <f t="shared" si="66"/>
        <v>512395.68579629296</v>
      </c>
      <c r="N45" s="8">
        <f t="shared" si="66"/>
        <v>13086.925149561277</v>
      </c>
      <c r="O45" s="26">
        <f t="shared" si="66"/>
        <v>8368.5832495077921</v>
      </c>
      <c r="P45" s="277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H45" s="78">
        <v>22</v>
      </c>
      <c r="BI45" s="83">
        <f>BI$13</f>
        <v>150</v>
      </c>
      <c r="BJ45" s="56">
        <f>HLOOKUP(BJ$24,$BL$24:$BP$46,BH45,FALSE)*BJ$11</f>
        <v>150</v>
      </c>
      <c r="BK45" s="2" t="s">
        <v>22</v>
      </c>
      <c r="BL45" s="46">
        <f>BL13</f>
        <v>926</v>
      </c>
      <c r="BM45" s="46">
        <f t="shared" ref="BM45:BP45" si="67">BM13</f>
        <v>1284</v>
      </c>
      <c r="BN45" s="46">
        <f t="shared" si="67"/>
        <v>398</v>
      </c>
      <c r="BO45" s="46">
        <f t="shared" si="67"/>
        <v>1141</v>
      </c>
      <c r="BP45" s="46">
        <f t="shared" si="67"/>
        <v>926</v>
      </c>
      <c r="CA45" s="466"/>
      <c r="CB45" s="452"/>
      <c r="CC45" s="453">
        <f t="shared" si="13"/>
        <v>0</v>
      </c>
      <c r="CD45" s="454">
        <f t="shared" ref="CD45:CD46" si="68">EG45</f>
        <v>0</v>
      </c>
      <c r="CE45" s="455" t="s">
        <v>22</v>
      </c>
      <c r="CF45" s="456"/>
      <c r="CG45" s="466"/>
      <c r="CH45" s="452"/>
      <c r="CI45" s="453">
        <f t="shared" si="15"/>
        <v>0</v>
      </c>
      <c r="CJ45" s="454">
        <f t="shared" ref="CJ45:CJ46" si="69">EM45</f>
        <v>0</v>
      </c>
      <c r="CK45" s="455" t="s">
        <v>22</v>
      </c>
      <c r="CL45" s="456"/>
      <c r="CM45" s="466"/>
      <c r="CN45" s="452"/>
      <c r="CO45" s="453">
        <f t="shared" si="17"/>
        <v>0</v>
      </c>
      <c r="CP45" s="454">
        <f t="shared" ref="CP45:CP46" si="70">ES45</f>
        <v>0</v>
      </c>
      <c r="CQ45" s="455" t="s">
        <v>22</v>
      </c>
      <c r="CR45" s="456"/>
      <c r="CS45" s="466"/>
      <c r="CT45" s="452"/>
      <c r="CU45" s="453">
        <f t="shared" ref="CU45:CU46" si="71">CV45</f>
        <v>0</v>
      </c>
      <c r="CV45" s="454">
        <f t="shared" ref="CV45:CV46" si="72">EY45</f>
        <v>0</v>
      </c>
      <c r="CW45" s="455" t="s">
        <v>22</v>
      </c>
      <c r="CX45" s="456"/>
      <c r="CY45" s="466"/>
      <c r="CZ45" s="452"/>
      <c r="DA45" s="453"/>
      <c r="DB45" s="454"/>
      <c r="DC45" s="455"/>
      <c r="DD45" s="456"/>
    </row>
    <row r="46" spans="1:108" ht="12.75" customHeight="1" x14ac:dyDescent="0.2">
      <c r="A46" s="2" t="s">
        <v>178</v>
      </c>
      <c r="C46" s="16" t="s">
        <v>243</v>
      </c>
      <c r="D46" s="427"/>
      <c r="E46" s="428"/>
      <c r="F46" s="431">
        <f t="shared" si="64"/>
        <v>150</v>
      </c>
      <c r="G46" s="429">
        <f t="shared" si="65"/>
        <v>150</v>
      </c>
      <c r="H46" s="457" t="s">
        <v>22</v>
      </c>
      <c r="I46" s="458"/>
      <c r="J46" s="6">
        <f>$F46*SUM(AB46:AF46)</f>
        <v>11250.000000000002</v>
      </c>
      <c r="K46" s="9">
        <f>$F46*SUM(AG46:AK46)</f>
        <v>1800.0000000000002</v>
      </c>
      <c r="L46" s="27">
        <f>$F46*SUM(AL46:AP46)</f>
        <v>4769.200395347716</v>
      </c>
      <c r="M46" s="12">
        <f>$F46*SUM(AQ46:AU46)</f>
        <v>68834.509291799186</v>
      </c>
      <c r="N46" s="9">
        <f>$F46*SUM(AV46:AZ46)</f>
        <v>450.19808854828722</v>
      </c>
      <c r="O46" s="27">
        <f>$F46*SUM(BA46:BE46)</f>
        <v>492.39888334153278</v>
      </c>
      <c r="P46" s="277"/>
      <c r="AB46" s="3">
        <f>AB24*0.08/1.2*AB50</f>
        <v>0</v>
      </c>
      <c r="AC46" s="3">
        <f>AC24*0.1/1.2*AC50</f>
        <v>75.000000000000014</v>
      </c>
      <c r="AD46" s="3">
        <f>AD24*0.08/1.2*AD50</f>
        <v>0</v>
      </c>
      <c r="AE46" s="3">
        <f>AE24*0.09/1.2*AE50</f>
        <v>0</v>
      </c>
      <c r="AF46" s="3">
        <f>AF24*0.08/1.2*AF50</f>
        <v>0</v>
      </c>
      <c r="AG46" s="3">
        <f>$AB46*AG50</f>
        <v>0</v>
      </c>
      <c r="AH46" s="3">
        <f>$AC46*AH50</f>
        <v>12.000000000000002</v>
      </c>
      <c r="AI46" s="3">
        <f>$AD46*AI50</f>
        <v>0</v>
      </c>
      <c r="AJ46" s="3">
        <f>$AE46*AJ50</f>
        <v>0</v>
      </c>
      <c r="AK46" s="3">
        <f>$AF46*AK50</f>
        <v>0</v>
      </c>
      <c r="AL46" s="3">
        <f>$AB46*AL50</f>
        <v>0</v>
      </c>
      <c r="AM46" s="3">
        <f>$AC46*AM50</f>
        <v>31.794669302318106</v>
      </c>
      <c r="AN46" s="3">
        <f>$AD46*AN50</f>
        <v>0</v>
      </c>
      <c r="AO46" s="3">
        <f>$AE46*AO50</f>
        <v>0</v>
      </c>
      <c r="AP46" s="3">
        <f>$AF46*AP50</f>
        <v>0</v>
      </c>
      <c r="AQ46" s="3">
        <f>$AB46*AQ50</f>
        <v>0</v>
      </c>
      <c r="AR46" s="3">
        <f>$AC46*AR50</f>
        <v>458.89672861199455</v>
      </c>
      <c r="AS46" s="3">
        <f>$AD46*AS50</f>
        <v>0</v>
      </c>
      <c r="AT46" s="3">
        <f>$AE46*AT50</f>
        <v>0</v>
      </c>
      <c r="AU46" s="3">
        <f>$AF46*AU50</f>
        <v>0</v>
      </c>
      <c r="AV46" s="3">
        <f>$AB46*AV50</f>
        <v>0</v>
      </c>
      <c r="AW46" s="3">
        <f>$AC46*AW50</f>
        <v>3.0013205903219147</v>
      </c>
      <c r="AX46" s="3">
        <f>$AD46*AX50</f>
        <v>0</v>
      </c>
      <c r="AY46" s="3">
        <f>$AE46*AY50</f>
        <v>0</v>
      </c>
      <c r="AZ46" s="3">
        <f>$AF46*AZ50</f>
        <v>0</v>
      </c>
      <c r="BA46" s="3">
        <f>$AB46*BA50</f>
        <v>0</v>
      </c>
      <c r="BB46" s="3">
        <f>$AC46*BB50</f>
        <v>3.2826592222768851</v>
      </c>
      <c r="BC46" s="3">
        <f>$AD46*BC50</f>
        <v>0</v>
      </c>
      <c r="BD46" s="3">
        <f>$AE46*BD50</f>
        <v>0</v>
      </c>
      <c r="BE46" s="3">
        <f>$AF46*BE50</f>
        <v>0</v>
      </c>
      <c r="BF46" s="2" t="s">
        <v>152</v>
      </c>
      <c r="BG46" s="2">
        <f>BH$13</f>
        <v>5</v>
      </c>
      <c r="BH46" s="78">
        <v>23</v>
      </c>
      <c r="BI46" s="83">
        <f>BI$13</f>
        <v>150</v>
      </c>
      <c r="BJ46" s="56">
        <f>HLOOKUP(BJ$24,$BL$24:$BP$46,BH46,FALSE)*BJ$11</f>
        <v>150</v>
      </c>
      <c r="BK46" s="2" t="s">
        <v>22</v>
      </c>
      <c r="BL46" s="46">
        <f>BL13</f>
        <v>926</v>
      </c>
      <c r="BM46" s="46">
        <f t="shared" ref="BM46:BP46" si="73">BM13</f>
        <v>1284</v>
      </c>
      <c r="BN46" s="46">
        <f t="shared" si="73"/>
        <v>398</v>
      </c>
      <c r="BO46" s="46">
        <f t="shared" si="73"/>
        <v>1141</v>
      </c>
      <c r="BP46" s="46">
        <f t="shared" si="73"/>
        <v>926</v>
      </c>
      <c r="CA46" s="427"/>
      <c r="CB46" s="428"/>
      <c r="CC46" s="431">
        <f t="shared" si="13"/>
        <v>0</v>
      </c>
      <c r="CD46" s="429">
        <f t="shared" si="68"/>
        <v>0</v>
      </c>
      <c r="CE46" s="457" t="s">
        <v>22</v>
      </c>
      <c r="CF46" s="458"/>
      <c r="CG46" s="427"/>
      <c r="CH46" s="428"/>
      <c r="CI46" s="431">
        <f t="shared" si="15"/>
        <v>0</v>
      </c>
      <c r="CJ46" s="429">
        <f t="shared" si="69"/>
        <v>0</v>
      </c>
      <c r="CK46" s="457" t="s">
        <v>22</v>
      </c>
      <c r="CL46" s="458"/>
      <c r="CM46" s="427"/>
      <c r="CN46" s="428"/>
      <c r="CO46" s="431">
        <f t="shared" si="17"/>
        <v>0</v>
      </c>
      <c r="CP46" s="429">
        <f t="shared" si="70"/>
        <v>0</v>
      </c>
      <c r="CQ46" s="457" t="s">
        <v>22</v>
      </c>
      <c r="CR46" s="458"/>
      <c r="CS46" s="427"/>
      <c r="CT46" s="428"/>
      <c r="CU46" s="431">
        <f t="shared" si="71"/>
        <v>0</v>
      </c>
      <c r="CV46" s="429">
        <f t="shared" si="72"/>
        <v>0</v>
      </c>
      <c r="CW46" s="457" t="s">
        <v>22</v>
      </c>
      <c r="CX46" s="458"/>
      <c r="CY46" s="427"/>
      <c r="CZ46" s="428"/>
      <c r="DA46" s="431"/>
      <c r="DB46" s="429"/>
      <c r="DC46" s="457"/>
      <c r="DD46" s="458"/>
    </row>
    <row r="47" spans="1:108" ht="12.75" customHeight="1" x14ac:dyDescent="0.2">
      <c r="A47" s="2" t="s">
        <v>179</v>
      </c>
      <c r="C47" s="16" t="s">
        <v>244</v>
      </c>
      <c r="D47" s="427"/>
      <c r="E47" s="428"/>
      <c r="F47" s="426">
        <f>G47</f>
        <v>11.28</v>
      </c>
      <c r="G47" s="467">
        <v>11.28</v>
      </c>
      <c r="H47" s="459" t="s">
        <v>46</v>
      </c>
      <c r="I47" s="460"/>
      <c r="J47" s="6">
        <f>SUM(J45:J46)*$F47/100</f>
        <v>9582.0022214912224</v>
      </c>
      <c r="K47" s="9">
        <f>$F46*SUM(AG47:AK47)</f>
        <v>1260.0000000000002</v>
      </c>
      <c r="L47" s="27">
        <f>$F46*SUM(AL47:AP47)</f>
        <v>3338.4402767434012</v>
      </c>
      <c r="M47" s="12">
        <f>$F46*SUM(AQ47:AU47)</f>
        <v>48184.15650425943</v>
      </c>
      <c r="N47" s="9">
        <f>$F46*SUM(AV47:AZ47)</f>
        <v>315.13866198380111</v>
      </c>
      <c r="O47" s="27">
        <f>$F46*SUM(BA47:BE47)</f>
        <v>344.67921833907297</v>
      </c>
      <c r="P47" s="277"/>
      <c r="AB47" s="82">
        <f>AB46/8*7</f>
        <v>0</v>
      </c>
      <c r="AC47" s="82">
        <f>AC46/10*7</f>
        <v>52.500000000000014</v>
      </c>
      <c r="AD47" s="82">
        <f>AD46/8*7</f>
        <v>0</v>
      </c>
      <c r="AE47" s="82">
        <f>AE46/9*7</f>
        <v>0</v>
      </c>
      <c r="AF47" s="82">
        <f>AF46/8*7</f>
        <v>0</v>
      </c>
      <c r="AG47" s="3">
        <f>$AB47*AG50</f>
        <v>0</v>
      </c>
      <c r="AH47" s="3">
        <f>$AC47*AH50</f>
        <v>8.4000000000000021</v>
      </c>
      <c r="AI47" s="3">
        <f>$AD47*AI50</f>
        <v>0</v>
      </c>
      <c r="AJ47" s="3">
        <f>$AE47*AJ50</f>
        <v>0</v>
      </c>
      <c r="AK47" s="3">
        <f>$AF47*AK50</f>
        <v>0</v>
      </c>
      <c r="AL47" s="3">
        <f>$AB47*AL50</f>
        <v>0</v>
      </c>
      <c r="AM47" s="3">
        <f>$AC47*AM50</f>
        <v>22.256268511622675</v>
      </c>
      <c r="AN47" s="3">
        <f>$AD47*AN50</f>
        <v>0</v>
      </c>
      <c r="AO47" s="3">
        <f>$AE47*AO50</f>
        <v>0</v>
      </c>
      <c r="AP47" s="3">
        <f>$AF47*AP50</f>
        <v>0</v>
      </c>
      <c r="AQ47" s="3">
        <f>$AB47*AQ50</f>
        <v>0</v>
      </c>
      <c r="AR47" s="3">
        <f>$AC47*AR50</f>
        <v>321.22771002839619</v>
      </c>
      <c r="AS47" s="3">
        <f>$AD47*AS50</f>
        <v>0</v>
      </c>
      <c r="AT47" s="3">
        <f>$AE47*AT50</f>
        <v>0</v>
      </c>
      <c r="AU47" s="3">
        <f>$AF47*AU50</f>
        <v>0</v>
      </c>
      <c r="AV47" s="3">
        <f>$AB47*AV50</f>
        <v>0</v>
      </c>
      <c r="AW47" s="3">
        <f>$AC47*AW50</f>
        <v>2.1009244132253406</v>
      </c>
      <c r="AX47" s="3">
        <f>$AD47*AX50</f>
        <v>0</v>
      </c>
      <c r="AY47" s="3">
        <f>$AE47*AY50</f>
        <v>0</v>
      </c>
      <c r="AZ47" s="3">
        <f>$AF47*AZ50</f>
        <v>0</v>
      </c>
      <c r="BA47" s="3">
        <f>$AB47*BA50</f>
        <v>0</v>
      </c>
      <c r="BB47" s="3">
        <f>$AC47*BB50</f>
        <v>2.2978614555938197</v>
      </c>
      <c r="BC47" s="3">
        <f>$AD47*BC50</f>
        <v>0</v>
      </c>
      <c r="BD47" s="3">
        <f>$AE47*BD50</f>
        <v>0</v>
      </c>
      <c r="BE47" s="3">
        <f>$AF47*BE50</f>
        <v>0</v>
      </c>
      <c r="BF47" s="2" t="s">
        <v>153</v>
      </c>
      <c r="BH47" s="78">
        <v>24</v>
      </c>
      <c r="BI47" s="83"/>
      <c r="BJ47" s="56">
        <f>HLOOKUP(BJ$24,$BL$24:$BP$47,BH47,FALSE)</f>
        <v>11.280000000000001</v>
      </c>
      <c r="BK47" s="2" t="s">
        <v>46</v>
      </c>
      <c r="BL47" s="46">
        <f>(1.07*1.04-1)*100</f>
        <v>11.280000000000001</v>
      </c>
      <c r="BM47" s="46">
        <f>(1.07*1.04-1)*100</f>
        <v>11.280000000000001</v>
      </c>
      <c r="BN47" s="46">
        <f>(1.07*1.04-1)*100</f>
        <v>11.280000000000001</v>
      </c>
      <c r="BO47" s="46">
        <f>(1.07*1.04-1)*100</f>
        <v>11.280000000000001</v>
      </c>
      <c r="BP47" s="46">
        <f>(1.07*1.04-1)*100</f>
        <v>11.280000000000001</v>
      </c>
      <c r="CA47" s="427"/>
      <c r="CB47" s="428"/>
      <c r="CC47" s="426">
        <f>CD47</f>
        <v>11.28</v>
      </c>
      <c r="CD47" s="467">
        <v>11.28</v>
      </c>
      <c r="CE47" s="459" t="s">
        <v>46</v>
      </c>
      <c r="CF47" s="460"/>
      <c r="CG47" s="427"/>
      <c r="CH47" s="428"/>
      <c r="CI47" s="426">
        <f>CJ47</f>
        <v>11.28</v>
      </c>
      <c r="CJ47" s="467">
        <v>11.28</v>
      </c>
      <c r="CK47" s="459" t="s">
        <v>46</v>
      </c>
      <c r="CL47" s="460"/>
      <c r="CM47" s="427"/>
      <c r="CN47" s="428"/>
      <c r="CO47" s="426">
        <f>CP47</f>
        <v>11.28</v>
      </c>
      <c r="CP47" s="467">
        <v>11.28</v>
      </c>
      <c r="CQ47" s="459" t="s">
        <v>46</v>
      </c>
      <c r="CR47" s="460"/>
      <c r="CS47" s="427"/>
      <c r="CT47" s="428"/>
      <c r="CU47" s="426">
        <f>CV47</f>
        <v>11.28</v>
      </c>
      <c r="CV47" s="467">
        <v>11.28</v>
      </c>
      <c r="CW47" s="459" t="s">
        <v>46</v>
      </c>
      <c r="CX47" s="460"/>
      <c r="CY47" s="427"/>
      <c r="CZ47" s="428"/>
      <c r="DA47" s="426"/>
      <c r="DB47" s="467"/>
      <c r="DC47" s="459"/>
      <c r="DD47" s="460"/>
    </row>
    <row r="48" spans="1:108" ht="3.95" customHeight="1" x14ac:dyDescent="0.2">
      <c r="C48" s="159"/>
      <c r="D48" s="462"/>
      <c r="E48" s="434"/>
      <c r="F48" s="433"/>
      <c r="G48" s="435"/>
      <c r="H48" s="436"/>
      <c r="I48" s="463"/>
      <c r="J48" s="24"/>
      <c r="K48" s="10"/>
      <c r="L48" s="28"/>
      <c r="M48" s="13"/>
      <c r="N48" s="10"/>
      <c r="O48" s="28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H48" s="79"/>
      <c r="BI48" s="95"/>
      <c r="BJ48" s="56"/>
      <c r="BL48" s="35"/>
      <c r="BM48" s="35"/>
      <c r="BN48" s="35"/>
      <c r="BO48" s="35"/>
      <c r="BP48" s="35"/>
      <c r="CA48" s="462"/>
      <c r="CB48" s="434"/>
      <c r="CC48" s="433"/>
      <c r="CD48" s="435"/>
      <c r="CE48" s="436"/>
      <c r="CF48" s="463"/>
      <c r="CG48" s="462"/>
      <c r="CH48" s="434"/>
      <c r="CI48" s="433"/>
      <c r="CJ48" s="435"/>
      <c r="CK48" s="436"/>
      <c r="CL48" s="463"/>
      <c r="CM48" s="462"/>
      <c r="CN48" s="434"/>
      <c r="CO48" s="433"/>
      <c r="CP48" s="435"/>
      <c r="CQ48" s="436"/>
      <c r="CR48" s="463"/>
      <c r="CS48" s="462"/>
      <c r="CT48" s="434"/>
      <c r="CU48" s="433"/>
      <c r="CV48" s="435"/>
      <c r="CW48" s="436"/>
      <c r="CX48" s="463"/>
      <c r="CY48" s="462"/>
      <c r="CZ48" s="434"/>
      <c r="DA48" s="433"/>
      <c r="DB48" s="435"/>
      <c r="DC48" s="436"/>
      <c r="DD48" s="463"/>
    </row>
    <row r="49" spans="1:108" ht="12.75" customHeight="1" x14ac:dyDescent="0.2">
      <c r="A49" s="2" t="s">
        <v>2</v>
      </c>
      <c r="C49" s="216" t="s">
        <v>286</v>
      </c>
      <c r="D49" s="468"/>
      <c r="E49" s="469"/>
      <c r="F49" s="470">
        <f>F46</f>
        <v>150</v>
      </c>
      <c r="G49" s="471"/>
      <c r="H49" s="472" t="s">
        <v>22</v>
      </c>
      <c r="I49" s="473"/>
      <c r="J49" s="66">
        <f>SUM(J45:J47)</f>
        <v>94528.830426200628</v>
      </c>
      <c r="K49" s="390">
        <f t="shared" ref="K49:O49" si="74">SUM(K45:K47)</f>
        <v>18485.621013530508</v>
      </c>
      <c r="L49" s="391">
        <f t="shared" si="74"/>
        <v>50270.508115826051</v>
      </c>
      <c r="M49" s="392">
        <f t="shared" si="74"/>
        <v>629414.35159235157</v>
      </c>
      <c r="N49" s="390">
        <f t="shared" si="74"/>
        <v>13852.261900093366</v>
      </c>
      <c r="O49" s="391">
        <f t="shared" si="74"/>
        <v>9205.6613511883988</v>
      </c>
      <c r="P49" s="277"/>
      <c r="Q49" s="3"/>
      <c r="AF49" s="26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H49" s="79"/>
      <c r="BI49" s="95"/>
      <c r="BJ49" s="56"/>
      <c r="BL49" s="35"/>
      <c r="BM49" s="35"/>
      <c r="BN49" s="35"/>
      <c r="BO49" s="35"/>
      <c r="BP49" s="35"/>
      <c r="CA49" s="468"/>
      <c r="CB49" s="469"/>
      <c r="CC49" s="470">
        <f>CC46</f>
        <v>0</v>
      </c>
      <c r="CD49" s="471"/>
      <c r="CE49" s="472" t="s">
        <v>22</v>
      </c>
      <c r="CF49" s="473"/>
      <c r="CG49" s="468"/>
      <c r="CH49" s="469"/>
      <c r="CI49" s="470">
        <f>CI46</f>
        <v>0</v>
      </c>
      <c r="CJ49" s="471"/>
      <c r="CK49" s="472" t="s">
        <v>22</v>
      </c>
      <c r="CL49" s="473"/>
      <c r="CM49" s="468"/>
      <c r="CN49" s="469"/>
      <c r="CO49" s="470">
        <f>CO46</f>
        <v>0</v>
      </c>
      <c r="CP49" s="471"/>
      <c r="CQ49" s="472" t="s">
        <v>22</v>
      </c>
      <c r="CR49" s="473"/>
      <c r="CS49" s="468"/>
      <c r="CT49" s="469"/>
      <c r="CU49" s="470">
        <f>CU46</f>
        <v>0</v>
      </c>
      <c r="CV49" s="471"/>
      <c r="CW49" s="472" t="s">
        <v>22</v>
      </c>
      <c r="CX49" s="473"/>
      <c r="CY49" s="468"/>
      <c r="CZ49" s="469"/>
      <c r="DA49" s="470"/>
      <c r="DB49" s="471"/>
      <c r="DC49" s="472"/>
      <c r="DD49" s="473"/>
    </row>
    <row r="50" spans="1:108" x14ac:dyDescent="0.2">
      <c r="A50" s="1"/>
      <c r="C50" s="147" t="str">
        <f>CONCATENATE("Idem referentie ",$F$10)</f>
        <v>Idem referentie (2) appartementen</v>
      </c>
      <c r="D50" s="474"/>
      <c r="E50" s="475"/>
      <c r="F50" s="476"/>
      <c r="G50" s="435">
        <f>G46</f>
        <v>150</v>
      </c>
      <c r="H50" s="436" t="s">
        <v>22</v>
      </c>
      <c r="I50" s="477"/>
      <c r="J50" s="153">
        <f>Referentieproject!J50</f>
        <v>155392.42446261062</v>
      </c>
      <c r="K50" s="138">
        <f>Referentieproject!K50</f>
        <v>31764.26641883895</v>
      </c>
      <c r="L50" s="139">
        <f>Referentieproject!L50</f>
        <v>98814.521748645493</v>
      </c>
      <c r="M50" s="140">
        <f>Referentieproject!M50</f>
        <v>1096708.6614134558</v>
      </c>
      <c r="N50" s="138">
        <f>Referentieproject!N50</f>
        <v>28177.722637075942</v>
      </c>
      <c r="O50" s="139">
        <f>Referentieproject!O50</f>
        <v>18232.564917803487</v>
      </c>
      <c r="Q50" s="3"/>
      <c r="AB50" s="37">
        <v>750</v>
      </c>
      <c r="AC50" s="37">
        <v>900</v>
      </c>
      <c r="AD50" s="37">
        <v>1300</v>
      </c>
      <c r="AE50" s="37">
        <v>1000</v>
      </c>
      <c r="AF50" s="1">
        <v>700</v>
      </c>
      <c r="AG50" s="381">
        <v>0.16</v>
      </c>
      <c r="AH50" s="381">
        <v>0.16</v>
      </c>
      <c r="AI50" s="381">
        <v>0.16</v>
      </c>
      <c r="AJ50" s="381">
        <v>0.16</v>
      </c>
      <c r="AK50" s="381">
        <v>0.16</v>
      </c>
      <c r="AL50" s="381">
        <v>0.42392892403090798</v>
      </c>
      <c r="AM50" s="381">
        <v>0.42392892403090798</v>
      </c>
      <c r="AN50" s="381">
        <v>0.42392892403090798</v>
      </c>
      <c r="AO50" s="381">
        <v>0.42392892403090798</v>
      </c>
      <c r="AP50" s="381">
        <v>0.42392892403090798</v>
      </c>
      <c r="AQ50" s="381">
        <v>6.1186230481599262</v>
      </c>
      <c r="AR50" s="381">
        <v>6.1186230481599262</v>
      </c>
      <c r="AS50" s="381">
        <v>6.1186230481599262</v>
      </c>
      <c r="AT50" s="381">
        <v>6.1186230481599262</v>
      </c>
      <c r="AU50" s="381">
        <v>6.1186230481599262</v>
      </c>
      <c r="AV50" s="381">
        <v>4.0017607870958857E-2</v>
      </c>
      <c r="AW50" s="381">
        <v>4.0017607870958857E-2</v>
      </c>
      <c r="AX50" s="381">
        <v>4.0017607870958857E-2</v>
      </c>
      <c r="AY50" s="381">
        <v>4.0017607870958857E-2</v>
      </c>
      <c r="AZ50" s="381">
        <v>4.0017607870958857E-2</v>
      </c>
      <c r="BA50" s="381">
        <v>4.3768789630358462E-2</v>
      </c>
      <c r="BB50" s="381">
        <v>4.3768789630358462E-2</v>
      </c>
      <c r="BC50" s="381">
        <v>4.3768789630358462E-2</v>
      </c>
      <c r="BD50" s="381">
        <v>4.3768789630358462E-2</v>
      </c>
      <c r="BE50" s="381">
        <v>4.3768789630358462E-2</v>
      </c>
      <c r="CA50" s="474"/>
      <c r="CB50" s="475"/>
      <c r="CC50" s="476"/>
      <c r="CD50" s="435">
        <f>CD46</f>
        <v>0</v>
      </c>
      <c r="CE50" s="436" t="s">
        <v>22</v>
      </c>
      <c r="CF50" s="477"/>
      <c r="CG50" s="474"/>
      <c r="CH50" s="475"/>
      <c r="CI50" s="476"/>
      <c r="CJ50" s="435">
        <f>CJ46</f>
        <v>0</v>
      </c>
      <c r="CK50" s="436" t="s">
        <v>22</v>
      </c>
      <c r="CL50" s="477"/>
      <c r="CM50" s="474"/>
      <c r="CN50" s="475"/>
      <c r="CO50" s="476"/>
      <c r="CP50" s="435">
        <f>CP46</f>
        <v>0</v>
      </c>
      <c r="CQ50" s="436" t="s">
        <v>22</v>
      </c>
      <c r="CR50" s="477"/>
      <c r="CS50" s="474"/>
      <c r="CT50" s="475"/>
      <c r="CU50" s="476"/>
      <c r="CV50" s="435">
        <f>CV46</f>
        <v>0</v>
      </c>
      <c r="CW50" s="436" t="s">
        <v>22</v>
      </c>
      <c r="CX50" s="477"/>
      <c r="CY50" s="474"/>
      <c r="CZ50" s="475"/>
      <c r="DA50" s="476"/>
      <c r="DB50" s="435"/>
      <c r="DC50" s="436"/>
      <c r="DD50" s="477"/>
    </row>
    <row r="51" spans="1:108" ht="3.95" customHeight="1" x14ac:dyDescent="0.2">
      <c r="D51" s="438"/>
      <c r="E51" s="438"/>
      <c r="F51" s="439"/>
      <c r="G51" s="439"/>
      <c r="H51" s="440"/>
      <c r="I51" s="437"/>
      <c r="CA51" s="438"/>
      <c r="CB51" s="438"/>
      <c r="CC51" s="439"/>
      <c r="CD51" s="439"/>
      <c r="CE51" s="440"/>
      <c r="CF51" s="437"/>
      <c r="CG51" s="438"/>
      <c r="CH51" s="438"/>
      <c r="CI51" s="439"/>
      <c r="CJ51" s="439"/>
      <c r="CK51" s="440"/>
      <c r="CL51" s="437"/>
      <c r="CM51" s="438"/>
      <c r="CN51" s="438"/>
      <c r="CO51" s="439"/>
      <c r="CP51" s="439"/>
      <c r="CQ51" s="440"/>
      <c r="CR51" s="437"/>
      <c r="CS51" s="438"/>
      <c r="CT51" s="438"/>
      <c r="CU51" s="439"/>
      <c r="CV51" s="439"/>
      <c r="CW51" s="440"/>
      <c r="CX51" s="437"/>
      <c r="CY51" s="438"/>
      <c r="CZ51" s="438"/>
      <c r="DA51" s="439"/>
      <c r="DB51" s="439"/>
      <c r="DC51" s="440"/>
      <c r="DD51" s="437"/>
    </row>
    <row r="52" spans="1:108" x14ac:dyDescent="0.2">
      <c r="C52" s="4" t="s">
        <v>415</v>
      </c>
      <c r="D52" s="440"/>
      <c r="E52" s="438"/>
      <c r="F52" s="438"/>
      <c r="G52" s="439"/>
      <c r="H52" s="440"/>
      <c r="I52" s="437"/>
      <c r="AG52" s="277"/>
      <c r="AH52" s="277"/>
      <c r="AI52" s="277"/>
      <c r="AJ52" s="277"/>
      <c r="AK52" s="277"/>
      <c r="CA52" s="440"/>
      <c r="CB52" s="438"/>
      <c r="CC52" s="438"/>
      <c r="CD52" s="439"/>
      <c r="CE52" s="440"/>
      <c r="CF52" s="437"/>
      <c r="CG52" s="440"/>
      <c r="CH52" s="438"/>
      <c r="CI52" s="438"/>
      <c r="CJ52" s="439"/>
      <c r="CK52" s="440"/>
      <c r="CL52" s="437"/>
      <c r="CM52" s="440"/>
      <c r="CN52" s="438"/>
      <c r="CO52" s="438"/>
      <c r="CP52" s="439"/>
      <c r="CQ52" s="440"/>
      <c r="CR52" s="437"/>
      <c r="CS52" s="440"/>
      <c r="CT52" s="438"/>
      <c r="CU52" s="438"/>
      <c r="CV52" s="439"/>
      <c r="CW52" s="440"/>
      <c r="CX52" s="437"/>
      <c r="CY52" s="440"/>
      <c r="CZ52" s="438"/>
      <c r="DA52" s="438"/>
      <c r="DB52" s="439"/>
      <c r="DC52" s="440"/>
      <c r="DD52" s="437"/>
    </row>
    <row r="53" spans="1:108" x14ac:dyDescent="0.2">
      <c r="C53" s="4" t="s">
        <v>405</v>
      </c>
      <c r="D53" s="440"/>
      <c r="E53" s="438"/>
      <c r="F53" s="438"/>
      <c r="G53" s="439"/>
      <c r="H53" s="440"/>
      <c r="I53" s="437"/>
      <c r="CA53" s="440"/>
      <c r="CB53" s="438"/>
      <c r="CC53" s="438"/>
      <c r="CD53" s="439"/>
      <c r="CE53" s="440"/>
      <c r="CF53" s="437"/>
      <c r="CG53" s="440"/>
      <c r="CH53" s="438"/>
      <c r="CI53" s="438"/>
      <c r="CJ53" s="439"/>
      <c r="CK53" s="440"/>
      <c r="CL53" s="437"/>
      <c r="CM53" s="440"/>
      <c r="CN53" s="438"/>
      <c r="CO53" s="438"/>
      <c r="CP53" s="439"/>
      <c r="CQ53" s="440"/>
      <c r="CR53" s="437"/>
      <c r="CS53" s="440"/>
      <c r="CT53" s="438"/>
      <c r="CU53" s="438"/>
      <c r="CV53" s="439"/>
      <c r="CW53" s="440"/>
      <c r="CX53" s="437"/>
      <c r="CY53" s="440"/>
      <c r="CZ53" s="438"/>
      <c r="DA53" s="438"/>
      <c r="DB53" s="439"/>
      <c r="DC53" s="440"/>
      <c r="DD53" s="437"/>
    </row>
    <row r="54" spans="1:108" x14ac:dyDescent="0.2">
      <c r="C54" s="4" t="s">
        <v>406</v>
      </c>
      <c r="D54" s="440"/>
      <c r="E54" s="438"/>
      <c r="F54" s="438"/>
      <c r="G54" s="439"/>
      <c r="H54" s="440"/>
      <c r="I54" s="437"/>
      <c r="CA54" s="440"/>
      <c r="CB54" s="438"/>
      <c r="CC54" s="438"/>
      <c r="CD54" s="439"/>
      <c r="CE54" s="440"/>
      <c r="CF54" s="437"/>
      <c r="CG54" s="440"/>
      <c r="CH54" s="438"/>
      <c r="CI54" s="438"/>
      <c r="CJ54" s="439"/>
      <c r="CK54" s="440"/>
      <c r="CL54" s="437"/>
      <c r="CM54" s="440"/>
      <c r="CN54" s="438"/>
      <c r="CO54" s="438"/>
      <c r="CP54" s="439"/>
      <c r="CQ54" s="440"/>
      <c r="CR54" s="437"/>
      <c r="CS54" s="440"/>
      <c r="CT54" s="438"/>
      <c r="CU54" s="438"/>
      <c r="CV54" s="439"/>
      <c r="CW54" s="440"/>
      <c r="CX54" s="437"/>
      <c r="CY54" s="440"/>
      <c r="CZ54" s="438"/>
      <c r="DA54" s="438"/>
      <c r="DB54" s="439"/>
      <c r="DC54" s="440"/>
      <c r="DD54" s="437"/>
    </row>
    <row r="55" spans="1:108" x14ac:dyDescent="0.2">
      <c r="C55" s="4" t="s">
        <v>407</v>
      </c>
      <c r="D55" s="438"/>
      <c r="E55" s="438"/>
      <c r="F55" s="439"/>
      <c r="G55" s="439"/>
      <c r="H55" s="440"/>
      <c r="I55" s="437"/>
      <c r="CA55" s="438"/>
      <c r="CB55" s="438"/>
      <c r="CC55" s="439"/>
      <c r="CD55" s="439"/>
      <c r="CE55" s="440"/>
      <c r="CF55" s="437"/>
      <c r="CG55" s="438"/>
      <c r="CH55" s="438"/>
      <c r="CI55" s="439"/>
      <c r="CJ55" s="439"/>
      <c r="CK55" s="440"/>
      <c r="CL55" s="437"/>
      <c r="CM55" s="438"/>
      <c r="CN55" s="438"/>
      <c r="CO55" s="439"/>
      <c r="CP55" s="439"/>
      <c r="CQ55" s="440"/>
      <c r="CR55" s="437"/>
      <c r="CS55" s="438"/>
      <c r="CT55" s="438"/>
      <c r="CU55" s="439"/>
      <c r="CV55" s="439"/>
      <c r="CW55" s="440"/>
      <c r="CX55" s="437"/>
      <c r="CY55" s="438"/>
      <c r="CZ55" s="438"/>
      <c r="DA55" s="439"/>
      <c r="DB55" s="439"/>
      <c r="DC55" s="440"/>
      <c r="DD55" s="437"/>
    </row>
    <row r="56" spans="1:108" x14ac:dyDescent="0.2">
      <c r="C56" s="4" t="s">
        <v>408</v>
      </c>
      <c r="D56" s="438"/>
      <c r="E56" s="438"/>
      <c r="F56" s="439"/>
      <c r="G56" s="439"/>
      <c r="H56" s="440"/>
      <c r="I56" s="437"/>
      <c r="CA56" s="438"/>
      <c r="CB56" s="438"/>
      <c r="CC56" s="439"/>
      <c r="CD56" s="439"/>
      <c r="CE56" s="440"/>
      <c r="CF56" s="437"/>
      <c r="CG56" s="438"/>
      <c r="CH56" s="438"/>
      <c r="CI56" s="439"/>
      <c r="CJ56" s="439"/>
      <c r="CK56" s="440"/>
      <c r="CL56" s="437"/>
      <c r="CM56" s="438"/>
      <c r="CN56" s="438"/>
      <c r="CO56" s="439"/>
      <c r="CP56" s="439"/>
      <c r="CQ56" s="440"/>
      <c r="CR56" s="437"/>
      <c r="CS56" s="438"/>
      <c r="CT56" s="438"/>
      <c r="CU56" s="439"/>
      <c r="CV56" s="439"/>
      <c r="CW56" s="440"/>
      <c r="CX56" s="437"/>
      <c r="CY56" s="438"/>
      <c r="CZ56" s="438"/>
      <c r="DA56" s="439"/>
      <c r="DB56" s="439"/>
      <c r="DC56" s="440"/>
      <c r="DD56" s="437"/>
    </row>
    <row r="57" spans="1:108" ht="3.95" customHeight="1" x14ac:dyDescent="0.2">
      <c r="C57" s="2"/>
      <c r="D57" s="438"/>
      <c r="E57" s="438"/>
      <c r="F57" s="438"/>
      <c r="G57" s="438"/>
      <c r="H57" s="440"/>
      <c r="I57" s="437"/>
      <c r="CA57" s="438"/>
      <c r="CB57" s="438"/>
      <c r="CC57" s="438"/>
      <c r="CD57" s="438"/>
      <c r="CE57" s="440"/>
      <c r="CF57" s="437"/>
      <c r="CG57" s="438"/>
      <c r="CH57" s="438"/>
      <c r="CI57" s="438"/>
      <c r="CJ57" s="438"/>
      <c r="CK57" s="440"/>
      <c r="CL57" s="437"/>
      <c r="CM57" s="438"/>
      <c r="CN57" s="438"/>
      <c r="CO57" s="438"/>
      <c r="CP57" s="438"/>
      <c r="CQ57" s="440"/>
      <c r="CR57" s="437"/>
      <c r="CS57" s="438"/>
      <c r="CT57" s="438"/>
      <c r="CU57" s="438"/>
      <c r="CV57" s="438"/>
      <c r="CW57" s="440"/>
      <c r="CX57" s="437"/>
      <c r="CY57" s="438"/>
      <c r="CZ57" s="438"/>
      <c r="DA57" s="438"/>
      <c r="DB57" s="438"/>
      <c r="DC57" s="440"/>
      <c r="DD57" s="437"/>
    </row>
    <row r="58" spans="1:108" ht="3.95" customHeight="1" x14ac:dyDescent="0.2">
      <c r="D58" s="438"/>
      <c r="E58" s="438"/>
      <c r="F58" s="438"/>
      <c r="G58" s="438"/>
      <c r="H58" s="440"/>
      <c r="I58" s="437"/>
      <c r="CA58" s="438"/>
      <c r="CB58" s="438"/>
      <c r="CC58" s="438"/>
      <c r="CD58" s="438"/>
      <c r="CE58" s="440"/>
      <c r="CF58" s="437"/>
      <c r="CG58" s="438"/>
      <c r="CH58" s="438"/>
      <c r="CI58" s="438"/>
      <c r="CJ58" s="438"/>
      <c r="CK58" s="440"/>
      <c r="CL58" s="437"/>
      <c r="CM58" s="438"/>
      <c r="CN58" s="438"/>
      <c r="CO58" s="438"/>
      <c r="CP58" s="438"/>
      <c r="CQ58" s="440"/>
      <c r="CR58" s="437"/>
      <c r="CS58" s="438"/>
      <c r="CT58" s="438"/>
      <c r="CU58" s="438"/>
      <c r="CV58" s="438"/>
      <c r="CW58" s="440"/>
      <c r="CX58" s="437"/>
      <c r="CY58" s="438"/>
      <c r="CZ58" s="438"/>
      <c r="DA58" s="438"/>
      <c r="DB58" s="438"/>
      <c r="DC58" s="440"/>
      <c r="DD58" s="437"/>
    </row>
    <row r="59" spans="1:108" ht="12.75" customHeight="1" x14ac:dyDescent="0.25">
      <c r="C59" s="106" t="s">
        <v>44</v>
      </c>
      <c r="D59" s="438"/>
      <c r="E59" s="438"/>
      <c r="F59" s="439"/>
      <c r="G59" s="439"/>
      <c r="H59" s="440"/>
      <c r="I59" s="437"/>
      <c r="CA59" s="438"/>
      <c r="CB59" s="438"/>
      <c r="CC59" s="439"/>
      <c r="CD59" s="439"/>
      <c r="CE59" s="440"/>
      <c r="CF59" s="437"/>
      <c r="CG59" s="438"/>
      <c r="CH59" s="438"/>
      <c r="CI59" s="439"/>
      <c r="CJ59" s="439"/>
      <c r="CK59" s="440"/>
      <c r="CL59" s="437"/>
      <c r="CM59" s="438"/>
      <c r="CN59" s="438"/>
      <c r="CO59" s="439"/>
      <c r="CP59" s="439"/>
      <c r="CQ59" s="440"/>
      <c r="CR59" s="437"/>
      <c r="CS59" s="438"/>
      <c r="CT59" s="438"/>
      <c r="CU59" s="439"/>
      <c r="CV59" s="439"/>
      <c r="CW59" s="440"/>
      <c r="CX59" s="437"/>
      <c r="CY59" s="438"/>
      <c r="CZ59" s="438"/>
      <c r="DA59" s="439"/>
      <c r="DB59" s="439"/>
      <c r="DC59" s="440"/>
      <c r="DD59" s="437"/>
    </row>
    <row r="60" spans="1:108" ht="25.5" customHeight="1" x14ac:dyDescent="0.2">
      <c r="C60" s="522" t="str">
        <f>IF($J$130="niet leverbaar", "PAS OP! NIET MOGELIJK",IF($J$132="niet leverbaar", "PAS OP! NIET MOGELIJK"," "))</f>
        <v>PAS OP! NIET MOGELIJK</v>
      </c>
      <c r="D60" s="438"/>
      <c r="E60" s="438"/>
      <c r="F60" s="438"/>
      <c r="G60" s="438"/>
      <c r="H60" s="440"/>
      <c r="I60" s="437"/>
      <c r="AB60" s="294" t="s">
        <v>49</v>
      </c>
      <c r="AC60" s="294"/>
      <c r="AD60" s="294"/>
      <c r="AE60" s="294"/>
      <c r="AF60" s="294"/>
      <c r="AG60" s="92" t="s">
        <v>37</v>
      </c>
      <c r="AH60" s="92"/>
      <c r="AI60" s="92"/>
      <c r="AJ60" s="92"/>
      <c r="AK60" s="92"/>
      <c r="AL60" s="300" t="s">
        <v>538</v>
      </c>
      <c r="AM60" s="300"/>
      <c r="AN60" s="300"/>
      <c r="AO60" s="300"/>
      <c r="AP60" s="300"/>
      <c r="AQ60" s="297" t="s">
        <v>28</v>
      </c>
      <c r="AR60" s="297"/>
      <c r="AS60" s="297"/>
      <c r="AT60" s="297"/>
      <c r="AU60" s="297"/>
      <c r="AV60" s="92" t="s">
        <v>35</v>
      </c>
      <c r="AW60" s="92"/>
      <c r="AX60" s="92"/>
      <c r="AY60" s="92"/>
      <c r="AZ60" s="92"/>
      <c r="BA60" s="300" t="s">
        <v>36</v>
      </c>
      <c r="BB60" s="300"/>
      <c r="BC60" s="300"/>
      <c r="BD60" s="300"/>
      <c r="BE60" s="300"/>
      <c r="CA60" s="438"/>
      <c r="CB60" s="438"/>
      <c r="CC60" s="438"/>
      <c r="CD60" s="438"/>
      <c r="CE60" s="440"/>
      <c r="CF60" s="437"/>
      <c r="CG60" s="438"/>
      <c r="CH60" s="438"/>
      <c r="CI60" s="438"/>
      <c r="CJ60" s="438"/>
      <c r="CK60" s="440"/>
      <c r="CL60" s="437"/>
      <c r="CM60" s="438"/>
      <c r="CN60" s="438"/>
      <c r="CO60" s="438"/>
      <c r="CP60" s="438"/>
      <c r="CQ60" s="440"/>
      <c r="CR60" s="437"/>
      <c r="CS60" s="438"/>
      <c r="CT60" s="438"/>
      <c r="CU60" s="438"/>
      <c r="CV60" s="438"/>
      <c r="CW60" s="440"/>
      <c r="CX60" s="437"/>
      <c r="CY60" s="438"/>
      <c r="CZ60" s="438"/>
      <c r="DA60" s="438"/>
      <c r="DB60" s="438"/>
      <c r="DC60" s="440"/>
      <c r="DD60" s="437"/>
    </row>
    <row r="61" spans="1:108" ht="12.75" customHeight="1" x14ac:dyDescent="0.2">
      <c r="C61" s="164" t="s">
        <v>214</v>
      </c>
      <c r="D61" s="441"/>
      <c r="E61" s="442"/>
      <c r="F61" s="443" t="s">
        <v>212</v>
      </c>
      <c r="G61" s="444"/>
      <c r="H61" s="445"/>
      <c r="I61" s="478"/>
      <c r="J61" s="185" t="s">
        <v>213</v>
      </c>
      <c r="K61" s="85"/>
      <c r="L61" s="85"/>
      <c r="M61" s="85"/>
      <c r="N61" s="85"/>
      <c r="O61" s="86"/>
      <c r="T61" s="269" t="s">
        <v>442</v>
      </c>
      <c r="U61" s="261" t="s">
        <v>443</v>
      </c>
      <c r="V61" s="261"/>
      <c r="W61" s="261"/>
      <c r="X61" s="261"/>
      <c r="Y61" s="261"/>
      <c r="AB61" s="44" t="s">
        <v>458</v>
      </c>
      <c r="AC61" s="38"/>
      <c r="AD61" s="38"/>
      <c r="AE61" s="38"/>
      <c r="AF61" s="96"/>
      <c r="AG61" s="45" t="s">
        <v>473</v>
      </c>
      <c r="AH61" s="43"/>
      <c r="AI61" s="43"/>
      <c r="AJ61" s="43"/>
      <c r="AK61" s="97"/>
      <c r="AL61" s="303" t="s">
        <v>473</v>
      </c>
      <c r="AM61" s="304"/>
      <c r="AN61" s="304"/>
      <c r="AO61" s="304"/>
      <c r="AP61" s="305"/>
      <c r="AQ61" s="308" t="s">
        <v>473</v>
      </c>
      <c r="AR61" s="309"/>
      <c r="AS61" s="309"/>
      <c r="AT61" s="309"/>
      <c r="AU61" s="310"/>
      <c r="AV61" s="45" t="s">
        <v>473</v>
      </c>
      <c r="AW61" s="43"/>
      <c r="AX61" s="43"/>
      <c r="AY61" s="43"/>
      <c r="AZ61" s="97"/>
      <c r="BA61" s="303" t="s">
        <v>473</v>
      </c>
      <c r="BB61" s="304"/>
      <c r="BC61" s="304"/>
      <c r="BD61" s="304"/>
      <c r="BE61" s="305"/>
      <c r="BF61" s="71"/>
      <c r="BG61" s="71"/>
      <c r="BH61" s="71"/>
      <c r="BI61" s="71" t="s">
        <v>148</v>
      </c>
      <c r="BJ61" s="72" t="s">
        <v>149</v>
      </c>
      <c r="BL61" s="73" t="s">
        <v>155</v>
      </c>
      <c r="BM61" s="72"/>
      <c r="BN61" s="72"/>
      <c r="BO61" s="72"/>
      <c r="BP61" s="72"/>
      <c r="CA61" s="441"/>
      <c r="CB61" s="442"/>
      <c r="CC61" s="443" t="s">
        <v>212</v>
      </c>
      <c r="CD61" s="444"/>
      <c r="CE61" s="445"/>
      <c r="CF61" s="478"/>
      <c r="CG61" s="441"/>
      <c r="CH61" s="442"/>
      <c r="CI61" s="443" t="s">
        <v>212</v>
      </c>
      <c r="CJ61" s="444"/>
      <c r="CK61" s="445"/>
      <c r="CL61" s="478"/>
      <c r="CM61" s="441"/>
      <c r="CN61" s="442"/>
      <c r="CO61" s="443" t="s">
        <v>212</v>
      </c>
      <c r="CP61" s="444"/>
      <c r="CQ61" s="445"/>
      <c r="CR61" s="478"/>
      <c r="CS61" s="441"/>
      <c r="CT61" s="442"/>
      <c r="CU61" s="443" t="s">
        <v>212</v>
      </c>
      <c r="CV61" s="444"/>
      <c r="CW61" s="445"/>
      <c r="CX61" s="478"/>
      <c r="CY61" s="441"/>
      <c r="CZ61" s="442"/>
      <c r="DA61" s="443"/>
      <c r="DB61" s="444"/>
      <c r="DC61" s="445"/>
      <c r="DD61" s="478"/>
    </row>
    <row r="62" spans="1:108" x14ac:dyDescent="0.2">
      <c r="C62" s="89" t="str">
        <f>$F$11</f>
        <v>2012-07-01 Voorbeeld 1</v>
      </c>
      <c r="D62" s="446"/>
      <c r="E62" s="447"/>
      <c r="F62" s="448" t="s">
        <v>148</v>
      </c>
      <c r="G62" s="449" t="s">
        <v>149</v>
      </c>
      <c r="H62" s="450"/>
      <c r="I62" s="446"/>
      <c r="J62" s="142"/>
      <c r="K62" s="142"/>
      <c r="L62" s="142"/>
      <c r="M62" s="142"/>
      <c r="N62" s="142"/>
      <c r="O62" s="90"/>
      <c r="T62" s="96" t="s">
        <v>441</v>
      </c>
      <c r="U62" s="262" t="s">
        <v>436</v>
      </c>
      <c r="V62" s="262" t="s">
        <v>437</v>
      </c>
      <c r="W62" s="262" t="s">
        <v>438</v>
      </c>
      <c r="X62" s="262" t="s">
        <v>439</v>
      </c>
      <c r="Y62" s="262" t="s">
        <v>440</v>
      </c>
      <c r="AB62" s="39" t="s">
        <v>459</v>
      </c>
      <c r="AC62" s="39"/>
      <c r="AD62" s="39"/>
      <c r="AE62" s="39"/>
      <c r="AF62" s="91"/>
      <c r="AG62" s="41" t="s">
        <v>459</v>
      </c>
      <c r="AH62" s="41"/>
      <c r="AI62" s="41"/>
      <c r="AJ62" s="41"/>
      <c r="AK62" s="92"/>
      <c r="AL62" s="306" t="s">
        <v>459</v>
      </c>
      <c r="AM62" s="306"/>
      <c r="AN62" s="306"/>
      <c r="AO62" s="306"/>
      <c r="AP62" s="300"/>
      <c r="AQ62" s="311" t="s">
        <v>459</v>
      </c>
      <c r="AR62" s="311"/>
      <c r="AS62" s="311"/>
      <c r="AT62" s="311"/>
      <c r="AU62" s="297"/>
      <c r="AV62" s="41" t="s">
        <v>459</v>
      </c>
      <c r="AW62" s="41"/>
      <c r="AX62" s="41"/>
      <c r="AY62" s="41"/>
      <c r="AZ62" s="92"/>
      <c r="BA62" s="306" t="s">
        <v>459</v>
      </c>
      <c r="BB62" s="306"/>
      <c r="BC62" s="306"/>
      <c r="BD62" s="306"/>
      <c r="BE62" s="300"/>
      <c r="BF62" s="74"/>
      <c r="BG62" s="74"/>
      <c r="BH62" s="75"/>
      <c r="BI62" s="93"/>
      <c r="BJ62" s="77"/>
      <c r="BL62" s="74"/>
      <c r="BM62" s="74"/>
      <c r="BN62" s="74"/>
      <c r="BO62" s="74"/>
      <c r="BP62" s="74"/>
      <c r="CA62" s="446"/>
      <c r="CB62" s="447"/>
      <c r="CC62" s="448" t="s">
        <v>148</v>
      </c>
      <c r="CD62" s="449" t="s">
        <v>149</v>
      </c>
      <c r="CE62" s="450"/>
      <c r="CF62" s="446"/>
      <c r="CG62" s="446"/>
      <c r="CH62" s="447"/>
      <c r="CI62" s="448" t="s">
        <v>148</v>
      </c>
      <c r="CJ62" s="449" t="s">
        <v>149</v>
      </c>
      <c r="CK62" s="450"/>
      <c r="CL62" s="446"/>
      <c r="CM62" s="446"/>
      <c r="CN62" s="447"/>
      <c r="CO62" s="448" t="s">
        <v>148</v>
      </c>
      <c r="CP62" s="449" t="s">
        <v>149</v>
      </c>
      <c r="CQ62" s="450"/>
      <c r="CR62" s="446"/>
      <c r="CS62" s="446"/>
      <c r="CT62" s="447"/>
      <c r="CU62" s="448" t="s">
        <v>148</v>
      </c>
      <c r="CV62" s="449" t="s">
        <v>149</v>
      </c>
      <c r="CW62" s="450"/>
      <c r="CX62" s="446"/>
      <c r="CY62" s="446"/>
      <c r="CZ62" s="447"/>
      <c r="DA62" s="448"/>
      <c r="DB62" s="449"/>
      <c r="DC62" s="450"/>
      <c r="DD62" s="446"/>
    </row>
    <row r="63" spans="1:108" ht="12.75" customHeight="1" x14ac:dyDescent="0.2">
      <c r="C63" s="14" t="s">
        <v>197</v>
      </c>
      <c r="D63" s="451"/>
      <c r="E63" s="428"/>
      <c r="F63" s="479"/>
      <c r="G63" s="480"/>
      <c r="H63" s="481"/>
      <c r="I63" s="481"/>
      <c r="J63" s="188"/>
      <c r="K63" s="29"/>
      <c r="L63" s="21"/>
      <c r="M63" s="21"/>
      <c r="N63" s="21"/>
      <c r="O63" s="22"/>
      <c r="T63" s="91"/>
      <c r="U63" s="263"/>
      <c r="V63" s="263"/>
      <c r="W63" s="263"/>
      <c r="X63" s="263"/>
      <c r="Y63" s="263"/>
      <c r="AB63" s="39"/>
      <c r="AC63" s="39"/>
      <c r="AD63" s="39"/>
      <c r="AE63" s="39"/>
      <c r="AF63" s="91"/>
      <c r="AG63" s="41"/>
      <c r="AH63" s="41"/>
      <c r="AI63" s="41"/>
      <c r="AJ63" s="41"/>
      <c r="AK63" s="92"/>
      <c r="AL63" s="306"/>
      <c r="AM63" s="306"/>
      <c r="AN63" s="306"/>
      <c r="AO63" s="306"/>
      <c r="AP63" s="300"/>
      <c r="AQ63" s="311"/>
      <c r="AR63" s="311"/>
      <c r="AS63" s="311"/>
      <c r="AT63" s="311"/>
      <c r="AU63" s="297"/>
      <c r="AV63" s="41"/>
      <c r="AW63" s="41"/>
      <c r="AX63" s="41"/>
      <c r="AY63" s="41"/>
      <c r="AZ63" s="92"/>
      <c r="BA63" s="306"/>
      <c r="BB63" s="306"/>
      <c r="BC63" s="306"/>
      <c r="BD63" s="306"/>
      <c r="BE63" s="300"/>
      <c r="BF63" s="74"/>
      <c r="BG63" s="74"/>
      <c r="BH63" s="75">
        <v>1</v>
      </c>
      <c r="BI63" s="93"/>
      <c r="BJ63" s="77">
        <f>BJ9</f>
        <v>2</v>
      </c>
      <c r="BL63" s="74">
        <f>BL9</f>
        <v>1</v>
      </c>
      <c r="BM63" s="74">
        <f>BM9</f>
        <v>2</v>
      </c>
      <c r="BN63" s="74">
        <f>BN9</f>
        <v>3</v>
      </c>
      <c r="BO63" s="74">
        <f>BO9</f>
        <v>4</v>
      </c>
      <c r="BP63" s="74">
        <f>BP9</f>
        <v>5</v>
      </c>
      <c r="CA63" s="451"/>
      <c r="CB63" s="428"/>
      <c r="CC63" s="479"/>
      <c r="CD63" s="480"/>
      <c r="CE63" s="481"/>
      <c r="CF63" s="481"/>
      <c r="CG63" s="451"/>
      <c r="CH63" s="428"/>
      <c r="CI63" s="479"/>
      <c r="CJ63" s="480"/>
      <c r="CK63" s="481"/>
      <c r="CL63" s="481"/>
      <c r="CM63" s="451"/>
      <c r="CN63" s="428"/>
      <c r="CO63" s="479"/>
      <c r="CP63" s="480"/>
      <c r="CQ63" s="481"/>
      <c r="CR63" s="481"/>
      <c r="CS63" s="451"/>
      <c r="CT63" s="428"/>
      <c r="CU63" s="479"/>
      <c r="CV63" s="480"/>
      <c r="CW63" s="481"/>
      <c r="CX63" s="481"/>
      <c r="CY63" s="451"/>
      <c r="CZ63" s="428"/>
      <c r="DA63" s="479"/>
      <c r="DB63" s="480"/>
      <c r="DC63" s="481"/>
      <c r="DD63" s="481"/>
    </row>
    <row r="64" spans="1:108" ht="12.75" customHeight="1" x14ac:dyDescent="0.2">
      <c r="C64" s="16" t="s">
        <v>193</v>
      </c>
      <c r="D64" s="427"/>
      <c r="E64" s="428"/>
      <c r="F64" s="482">
        <f>G64</f>
        <v>20</v>
      </c>
      <c r="G64" s="483">
        <v>20</v>
      </c>
      <c r="H64" s="459" t="s">
        <v>46</v>
      </c>
      <c r="I64" s="459"/>
      <c r="J64" s="16" t="s">
        <v>200</v>
      </c>
      <c r="K64" s="30"/>
      <c r="L64" s="19"/>
      <c r="M64" s="19"/>
      <c r="N64" s="19"/>
      <c r="O64" s="18"/>
      <c r="T64" s="91"/>
      <c r="U64" s="263"/>
      <c r="V64" s="264"/>
      <c r="W64" s="263"/>
      <c r="X64" s="264"/>
      <c r="Y64" s="264"/>
      <c r="AB64" s="271">
        <v>3.5</v>
      </c>
      <c r="AC64" s="271">
        <v>4</v>
      </c>
      <c r="AD64" s="271">
        <v>5</v>
      </c>
      <c r="AE64" s="271">
        <v>8</v>
      </c>
      <c r="AF64" s="271"/>
      <c r="AG64" s="276">
        <v>3.5</v>
      </c>
      <c r="AH64" s="276">
        <v>4</v>
      </c>
      <c r="AI64" s="276">
        <v>5</v>
      </c>
      <c r="AJ64" s="276">
        <v>8</v>
      </c>
      <c r="AK64" s="276"/>
      <c r="AL64" s="307">
        <v>3.5</v>
      </c>
      <c r="AM64" s="307">
        <v>4</v>
      </c>
      <c r="AN64" s="307">
        <v>5</v>
      </c>
      <c r="AO64" s="307">
        <v>8</v>
      </c>
      <c r="AP64" s="307"/>
      <c r="AQ64" s="312">
        <v>3.5</v>
      </c>
      <c r="AR64" s="312">
        <v>4</v>
      </c>
      <c r="AS64" s="312">
        <v>5</v>
      </c>
      <c r="AT64" s="312">
        <v>8</v>
      </c>
      <c r="AU64" s="312"/>
      <c r="AV64" s="276">
        <v>3.5</v>
      </c>
      <c r="AW64" s="276">
        <v>4</v>
      </c>
      <c r="AX64" s="276">
        <v>5</v>
      </c>
      <c r="AY64" s="276">
        <v>8</v>
      </c>
      <c r="AZ64" s="276"/>
      <c r="BA64" s="307">
        <v>3.5</v>
      </c>
      <c r="BB64" s="307">
        <v>4</v>
      </c>
      <c r="BC64" s="307">
        <v>5</v>
      </c>
      <c r="BD64" s="307">
        <v>8</v>
      </c>
      <c r="BE64" s="307"/>
      <c r="BH64" s="78">
        <v>2</v>
      </c>
      <c r="BJ64" s="152"/>
      <c r="CA64" s="427"/>
      <c r="CB64" s="428"/>
      <c r="CC64" s="482">
        <f>CD64</f>
        <v>20</v>
      </c>
      <c r="CD64" s="483">
        <v>20</v>
      </c>
      <c r="CE64" s="459" t="s">
        <v>46</v>
      </c>
      <c r="CF64" s="459"/>
      <c r="CG64" s="427"/>
      <c r="CH64" s="428"/>
      <c r="CI64" s="482">
        <f>CJ64</f>
        <v>20</v>
      </c>
      <c r="CJ64" s="483">
        <v>20</v>
      </c>
      <c r="CK64" s="459" t="s">
        <v>46</v>
      </c>
      <c r="CL64" s="459"/>
      <c r="CM64" s="427"/>
      <c r="CN64" s="428"/>
      <c r="CO64" s="482">
        <f>CP64</f>
        <v>20</v>
      </c>
      <c r="CP64" s="483">
        <v>20</v>
      </c>
      <c r="CQ64" s="459" t="s">
        <v>46</v>
      </c>
      <c r="CR64" s="459"/>
      <c r="CS64" s="427"/>
      <c r="CT64" s="428"/>
      <c r="CU64" s="482">
        <f>CV64</f>
        <v>20</v>
      </c>
      <c r="CV64" s="483">
        <v>20</v>
      </c>
      <c r="CW64" s="459" t="s">
        <v>46</v>
      </c>
      <c r="CX64" s="459"/>
      <c r="CY64" s="427"/>
      <c r="CZ64" s="428"/>
      <c r="DA64" s="482"/>
      <c r="DB64" s="483"/>
      <c r="DC64" s="459"/>
      <c r="DD64" s="459"/>
    </row>
    <row r="65" spans="3:108" ht="12.75" customHeight="1" x14ac:dyDescent="0.2">
      <c r="C65" s="16" t="s">
        <v>194</v>
      </c>
      <c r="D65" s="427"/>
      <c r="E65" s="428"/>
      <c r="F65" s="482">
        <f>G65</f>
        <v>30</v>
      </c>
      <c r="G65" s="483">
        <v>30</v>
      </c>
      <c r="H65" s="459" t="s">
        <v>46</v>
      </c>
      <c r="I65" s="459"/>
      <c r="J65" s="16" t="s">
        <v>475</v>
      </c>
      <c r="K65" s="30"/>
      <c r="L65" s="19"/>
      <c r="M65" s="19"/>
      <c r="N65" s="19"/>
      <c r="O65" s="18"/>
      <c r="T65" s="91"/>
      <c r="U65" s="263"/>
      <c r="V65" s="263"/>
      <c r="W65" s="263"/>
      <c r="X65" s="263"/>
      <c r="Y65" s="264"/>
      <c r="AA65" s="2" t="s">
        <v>464</v>
      </c>
      <c r="AB65" s="3"/>
      <c r="AC65" s="274">
        <f>Kostengegevens!D7</f>
        <v>0</v>
      </c>
      <c r="AD65" s="274">
        <f>Kostengegevens!E7</f>
        <v>0</v>
      </c>
      <c r="AE65" s="3"/>
      <c r="AF65" s="3"/>
      <c r="AG65" s="3"/>
      <c r="AH65" s="274">
        <f>Kostengegevens!I7</f>
        <v>0</v>
      </c>
      <c r="AI65" s="274">
        <f>Kostengegevens!J7</f>
        <v>0</v>
      </c>
      <c r="AJ65" s="3"/>
      <c r="AL65" s="3"/>
      <c r="AM65" s="274">
        <f>Kostengegevens!N7</f>
        <v>0</v>
      </c>
      <c r="AN65" s="274">
        <f>Kostengegevens!O7</f>
        <v>0</v>
      </c>
      <c r="AO65" s="3"/>
      <c r="AQ65" s="3"/>
      <c r="AR65" s="274">
        <f>Kostengegevens!S7</f>
        <v>0</v>
      </c>
      <c r="AS65" s="274">
        <f>Kostengegevens!T7</f>
        <v>0</v>
      </c>
      <c r="AT65" s="3"/>
      <c r="AV65" s="3"/>
      <c r="AW65" s="274">
        <f>Kostengegevens!X7</f>
        <v>0</v>
      </c>
      <c r="AX65" s="274">
        <f>Kostengegevens!Y7</f>
        <v>0</v>
      </c>
      <c r="AY65" s="3"/>
      <c r="BA65" s="3"/>
      <c r="BB65" s="274">
        <f>Kostengegevens!AC7</f>
        <v>0</v>
      </c>
      <c r="BC65" s="274">
        <f>Kostengegevens!AD7</f>
        <v>0</v>
      </c>
      <c r="BD65" s="3"/>
      <c r="BH65" s="78">
        <v>3</v>
      </c>
      <c r="BJ65" s="152"/>
      <c r="CA65" s="427"/>
      <c r="CB65" s="428"/>
      <c r="CC65" s="482">
        <f>CD65</f>
        <v>30</v>
      </c>
      <c r="CD65" s="483">
        <v>30</v>
      </c>
      <c r="CE65" s="459" t="s">
        <v>46</v>
      </c>
      <c r="CF65" s="459"/>
      <c r="CG65" s="427"/>
      <c r="CH65" s="428"/>
      <c r="CI65" s="482">
        <f>CJ65</f>
        <v>30</v>
      </c>
      <c r="CJ65" s="483">
        <v>30</v>
      </c>
      <c r="CK65" s="459" t="s">
        <v>46</v>
      </c>
      <c r="CL65" s="459"/>
      <c r="CM65" s="427"/>
      <c r="CN65" s="428"/>
      <c r="CO65" s="482">
        <f>CP65</f>
        <v>30</v>
      </c>
      <c r="CP65" s="483">
        <v>30</v>
      </c>
      <c r="CQ65" s="459" t="s">
        <v>46</v>
      </c>
      <c r="CR65" s="459"/>
      <c r="CS65" s="427"/>
      <c r="CT65" s="428"/>
      <c r="CU65" s="482">
        <f>CV65</f>
        <v>30</v>
      </c>
      <c r="CV65" s="483">
        <v>30</v>
      </c>
      <c r="CW65" s="459" t="s">
        <v>46</v>
      </c>
      <c r="CX65" s="459"/>
      <c r="CY65" s="427"/>
      <c r="CZ65" s="428"/>
      <c r="DA65" s="482"/>
      <c r="DB65" s="483"/>
      <c r="DC65" s="459"/>
      <c r="DD65" s="459"/>
    </row>
    <row r="66" spans="3:108" ht="12.75" customHeight="1" x14ac:dyDescent="0.2">
      <c r="C66" s="16" t="s">
        <v>196</v>
      </c>
      <c r="D66" s="427"/>
      <c r="E66" s="428"/>
      <c r="F66" s="482">
        <f>G66</f>
        <v>20</v>
      </c>
      <c r="G66" s="483">
        <v>20</v>
      </c>
      <c r="H66" s="459" t="s">
        <v>46</v>
      </c>
      <c r="I66" s="459"/>
      <c r="J66" s="16" t="s">
        <v>260</v>
      </c>
      <c r="K66" s="30"/>
      <c r="L66" s="19"/>
      <c r="M66" s="19"/>
      <c r="N66" s="19"/>
      <c r="O66" s="18"/>
      <c r="T66" s="91"/>
      <c r="U66" s="263"/>
      <c r="V66" s="263"/>
      <c r="W66" s="263"/>
      <c r="X66" s="263"/>
      <c r="Y66" s="264"/>
      <c r="AA66" s="2" t="s">
        <v>469</v>
      </c>
      <c r="AB66" s="3"/>
      <c r="AC66" s="3"/>
      <c r="AD66" s="3"/>
      <c r="AE66" s="274">
        <f>Kostengegevens!F8</f>
        <v>0</v>
      </c>
      <c r="AF66" s="3"/>
      <c r="AG66" s="3"/>
      <c r="AH66" s="3"/>
      <c r="AI66" s="3"/>
      <c r="AJ66" s="274">
        <f>Kostengegevens!K8</f>
        <v>0</v>
      </c>
      <c r="AL66" s="3"/>
      <c r="AM66" s="3"/>
      <c r="AN66" s="3"/>
      <c r="AO66" s="274">
        <f>Kostengegevens!P8</f>
        <v>0</v>
      </c>
      <c r="AQ66" s="3"/>
      <c r="AR66" s="3"/>
      <c r="AS66" s="3"/>
      <c r="AT66" s="274">
        <f>Kostengegevens!U8</f>
        <v>0</v>
      </c>
      <c r="AV66" s="3"/>
      <c r="AW66" s="3"/>
      <c r="AX66" s="3"/>
      <c r="AY66" s="274">
        <f>Kostengegevens!Z8</f>
        <v>0</v>
      </c>
      <c r="BA66" s="3"/>
      <c r="BB66" s="3"/>
      <c r="BC66" s="3"/>
      <c r="BD66" s="274">
        <f>Kostengegevens!AE8</f>
        <v>0</v>
      </c>
      <c r="BH66" s="78">
        <v>4</v>
      </c>
      <c r="BJ66" s="152"/>
      <c r="CA66" s="427"/>
      <c r="CB66" s="428"/>
      <c r="CC66" s="482">
        <f>CD66</f>
        <v>20</v>
      </c>
      <c r="CD66" s="483">
        <v>20</v>
      </c>
      <c r="CE66" s="459" t="s">
        <v>46</v>
      </c>
      <c r="CF66" s="459"/>
      <c r="CG66" s="427"/>
      <c r="CH66" s="428"/>
      <c r="CI66" s="482">
        <f>CJ66</f>
        <v>20</v>
      </c>
      <c r="CJ66" s="483">
        <v>20</v>
      </c>
      <c r="CK66" s="459" t="s">
        <v>46</v>
      </c>
      <c r="CL66" s="459"/>
      <c r="CM66" s="427"/>
      <c r="CN66" s="428"/>
      <c r="CO66" s="482">
        <f>CP66</f>
        <v>20</v>
      </c>
      <c r="CP66" s="483">
        <v>20</v>
      </c>
      <c r="CQ66" s="459" t="s">
        <v>46</v>
      </c>
      <c r="CR66" s="459"/>
      <c r="CS66" s="427"/>
      <c r="CT66" s="428"/>
      <c r="CU66" s="482">
        <f>CV66</f>
        <v>20</v>
      </c>
      <c r="CV66" s="483">
        <v>20</v>
      </c>
      <c r="CW66" s="459" t="s">
        <v>46</v>
      </c>
      <c r="CX66" s="459"/>
      <c r="CY66" s="427"/>
      <c r="CZ66" s="428"/>
      <c r="DA66" s="482"/>
      <c r="DB66" s="483"/>
      <c r="DC66" s="459"/>
      <c r="DD66" s="459"/>
    </row>
    <row r="67" spans="3:108" ht="12.75" customHeight="1" x14ac:dyDescent="0.2">
      <c r="C67" s="16" t="s">
        <v>195</v>
      </c>
      <c r="D67" s="427"/>
      <c r="E67" s="428"/>
      <c r="F67" s="482">
        <f>G67</f>
        <v>30</v>
      </c>
      <c r="G67" s="483">
        <v>30</v>
      </c>
      <c r="H67" s="459" t="s">
        <v>46</v>
      </c>
      <c r="I67" s="459"/>
      <c r="J67" s="16"/>
      <c r="K67" s="30"/>
      <c r="L67" s="19"/>
      <c r="M67" s="19"/>
      <c r="N67" s="19"/>
      <c r="O67" s="18"/>
      <c r="T67" s="91"/>
      <c r="U67" s="263"/>
      <c r="V67" s="263"/>
      <c r="W67" s="263"/>
      <c r="X67" s="263"/>
      <c r="Y67" s="263"/>
      <c r="AA67" s="2" t="s">
        <v>465</v>
      </c>
      <c r="AB67" s="274">
        <f>Kostengegevens!C9</f>
        <v>0</v>
      </c>
      <c r="AC67" s="274">
        <f>Kostengegevens!D9</f>
        <v>0</v>
      </c>
      <c r="AD67" s="274">
        <f>Kostengegevens!E9</f>
        <v>0</v>
      </c>
      <c r="AE67" s="274">
        <f>Kostengegevens!F9</f>
        <v>0</v>
      </c>
      <c r="AF67" s="3"/>
      <c r="AG67" s="274">
        <f>Kostengegevens!H9</f>
        <v>0</v>
      </c>
      <c r="AH67" s="274">
        <f>Kostengegevens!I9</f>
        <v>0</v>
      </c>
      <c r="AI67" s="274">
        <f>Kostengegevens!J9</f>
        <v>0</v>
      </c>
      <c r="AJ67" s="274">
        <f>Kostengegevens!K9</f>
        <v>0</v>
      </c>
      <c r="AL67" s="274">
        <f>Kostengegevens!M9</f>
        <v>0</v>
      </c>
      <c r="AM67" s="274">
        <f>Kostengegevens!N9</f>
        <v>0</v>
      </c>
      <c r="AN67" s="274">
        <f>Kostengegevens!O9</f>
        <v>0</v>
      </c>
      <c r="AO67" s="274">
        <f>Kostengegevens!P9</f>
        <v>0</v>
      </c>
      <c r="AQ67" s="274">
        <f>Kostengegevens!R9</f>
        <v>0</v>
      </c>
      <c r="AR67" s="274">
        <f>Kostengegevens!S9</f>
        <v>0</v>
      </c>
      <c r="AS67" s="274">
        <f>Kostengegevens!T9</f>
        <v>0</v>
      </c>
      <c r="AT67" s="274">
        <f>Kostengegevens!U9</f>
        <v>0</v>
      </c>
      <c r="AV67" s="274">
        <f>Kostengegevens!W9</f>
        <v>0</v>
      </c>
      <c r="AW67" s="274">
        <f>Kostengegevens!X9</f>
        <v>0</v>
      </c>
      <c r="AX67" s="274">
        <f>Kostengegevens!Y9</f>
        <v>0</v>
      </c>
      <c r="AY67" s="274">
        <f>Kostengegevens!Z9</f>
        <v>0</v>
      </c>
      <c r="BA67" s="274">
        <f>Kostengegevens!AB9</f>
        <v>0</v>
      </c>
      <c r="BB67" s="274">
        <f>Kostengegevens!AC9</f>
        <v>0</v>
      </c>
      <c r="BC67" s="274">
        <f>Kostengegevens!AD9</f>
        <v>0</v>
      </c>
      <c r="BD67" s="274">
        <f>Kostengegevens!AE9</f>
        <v>0</v>
      </c>
      <c r="BH67" s="78">
        <v>5</v>
      </c>
      <c r="BJ67" s="152"/>
      <c r="CA67" s="427"/>
      <c r="CB67" s="428"/>
      <c r="CC67" s="482">
        <f>CD67</f>
        <v>30</v>
      </c>
      <c r="CD67" s="483">
        <v>30</v>
      </c>
      <c r="CE67" s="459" t="s">
        <v>46</v>
      </c>
      <c r="CF67" s="459"/>
      <c r="CG67" s="427"/>
      <c r="CH67" s="428"/>
      <c r="CI67" s="482">
        <f>CJ67</f>
        <v>30</v>
      </c>
      <c r="CJ67" s="483">
        <v>30</v>
      </c>
      <c r="CK67" s="459" t="s">
        <v>46</v>
      </c>
      <c r="CL67" s="459"/>
      <c r="CM67" s="427"/>
      <c r="CN67" s="428"/>
      <c r="CO67" s="482">
        <f>CP67</f>
        <v>30</v>
      </c>
      <c r="CP67" s="483">
        <v>30</v>
      </c>
      <c r="CQ67" s="459" t="s">
        <v>46</v>
      </c>
      <c r="CR67" s="459"/>
      <c r="CS67" s="427"/>
      <c r="CT67" s="428"/>
      <c r="CU67" s="482">
        <f>CV67</f>
        <v>30</v>
      </c>
      <c r="CV67" s="483">
        <v>30</v>
      </c>
      <c r="CW67" s="459" t="s">
        <v>46</v>
      </c>
      <c r="CX67" s="459"/>
      <c r="CY67" s="427"/>
      <c r="CZ67" s="428"/>
      <c r="DA67" s="482"/>
      <c r="DB67" s="483"/>
      <c r="DC67" s="459"/>
      <c r="DD67" s="459"/>
    </row>
    <row r="68" spans="3:108" ht="12.75" customHeight="1" x14ac:dyDescent="0.2">
      <c r="C68" s="15" t="s">
        <v>198</v>
      </c>
      <c r="D68" s="461"/>
      <c r="E68" s="428"/>
      <c r="F68" s="479"/>
      <c r="G68" s="484"/>
      <c r="H68" s="481"/>
      <c r="I68" s="481"/>
      <c r="J68" s="16"/>
      <c r="K68" s="30"/>
      <c r="L68" s="19"/>
      <c r="M68" s="19"/>
      <c r="N68" s="19"/>
      <c r="O68" s="18"/>
      <c r="T68" s="91"/>
      <c r="U68" s="263"/>
      <c r="V68" s="263"/>
      <c r="W68" s="263"/>
      <c r="X68" s="263"/>
      <c r="Y68" s="263"/>
      <c r="AA68" s="2" t="s">
        <v>470</v>
      </c>
      <c r="AB68" s="3"/>
      <c r="AC68" s="3"/>
      <c r="AD68" s="274">
        <f>Kostengegevens!E10</f>
        <v>0</v>
      </c>
      <c r="AE68" s="274">
        <f>Kostengegevens!F10</f>
        <v>0</v>
      </c>
      <c r="AF68" s="3"/>
      <c r="AG68" s="3"/>
      <c r="AH68" s="3"/>
      <c r="AI68" s="274">
        <f>Kostengegevens!J10</f>
        <v>0</v>
      </c>
      <c r="AJ68" s="274">
        <f>Kostengegevens!K10</f>
        <v>0</v>
      </c>
      <c r="AL68" s="3"/>
      <c r="AM68" s="3"/>
      <c r="AN68" s="274">
        <f>Kostengegevens!O10</f>
        <v>0</v>
      </c>
      <c r="AO68" s="274">
        <f>Kostengegevens!P10</f>
        <v>0</v>
      </c>
      <c r="AQ68" s="3"/>
      <c r="AR68" s="3"/>
      <c r="AS68" s="274">
        <f>Kostengegevens!T10</f>
        <v>0</v>
      </c>
      <c r="AT68" s="274">
        <f>Kostengegevens!U10</f>
        <v>0</v>
      </c>
      <c r="AV68" s="3"/>
      <c r="AW68" s="3"/>
      <c r="AX68" s="274">
        <f>Kostengegevens!Y10</f>
        <v>0</v>
      </c>
      <c r="AY68" s="274">
        <f>Kostengegevens!Z10</f>
        <v>0</v>
      </c>
      <c r="BA68" s="3"/>
      <c r="BB68" s="3"/>
      <c r="BC68" s="274">
        <f>Kostengegevens!AD10</f>
        <v>0</v>
      </c>
      <c r="BD68" s="274">
        <f>Kostengegevens!AE10</f>
        <v>0</v>
      </c>
      <c r="BH68" s="78">
        <v>6</v>
      </c>
      <c r="BJ68" s="152"/>
      <c r="CA68" s="461"/>
      <c r="CB68" s="428"/>
      <c r="CC68" s="479"/>
      <c r="CD68" s="484"/>
      <c r="CE68" s="481"/>
      <c r="CF68" s="481"/>
      <c r="CG68" s="461"/>
      <c r="CH68" s="428"/>
      <c r="CI68" s="479"/>
      <c r="CJ68" s="484"/>
      <c r="CK68" s="481"/>
      <c r="CL68" s="481"/>
      <c r="CM68" s="461"/>
      <c r="CN68" s="428"/>
      <c r="CO68" s="479"/>
      <c r="CP68" s="484"/>
      <c r="CQ68" s="481"/>
      <c r="CR68" s="481"/>
      <c r="CS68" s="461"/>
      <c r="CT68" s="428"/>
      <c r="CU68" s="479"/>
      <c r="CV68" s="484"/>
      <c r="CW68" s="481"/>
      <c r="CX68" s="481"/>
      <c r="CY68" s="461"/>
      <c r="CZ68" s="428"/>
      <c r="DA68" s="479"/>
      <c r="DB68" s="484"/>
      <c r="DC68" s="481"/>
      <c r="DD68" s="481"/>
    </row>
    <row r="69" spans="3:108" ht="12.75" customHeight="1" x14ac:dyDescent="0.2">
      <c r="C69" s="16" t="s">
        <v>193</v>
      </c>
      <c r="D69" s="427"/>
      <c r="E69" s="428"/>
      <c r="F69" s="482">
        <f>G69</f>
        <v>20</v>
      </c>
      <c r="G69" s="483">
        <v>20</v>
      </c>
      <c r="H69" s="459" t="s">
        <v>46</v>
      </c>
      <c r="I69" s="459"/>
      <c r="J69" s="16" t="s">
        <v>201</v>
      </c>
      <c r="K69" s="30"/>
      <c r="L69" s="19"/>
      <c r="M69" s="19"/>
      <c r="N69" s="19"/>
      <c r="O69" s="18"/>
      <c r="T69" s="91"/>
      <c r="U69" s="263"/>
      <c r="V69" s="264"/>
      <c r="W69" s="263"/>
      <c r="X69" s="264"/>
      <c r="Y69" s="264"/>
      <c r="AA69" s="2" t="s">
        <v>460</v>
      </c>
      <c r="AB69" s="274">
        <f>Kostengegevens!C11</f>
        <v>0</v>
      </c>
      <c r="AC69" s="274">
        <f>Kostengegevens!D11</f>
        <v>0</v>
      </c>
      <c r="AD69" s="3"/>
      <c r="AE69" s="3"/>
      <c r="AF69" s="3"/>
      <c r="AG69" s="274">
        <f>Kostengegevens!H11</f>
        <v>0</v>
      </c>
      <c r="AH69" s="274">
        <f>Kostengegevens!I11</f>
        <v>0</v>
      </c>
      <c r="AI69" s="3"/>
      <c r="AJ69" s="3"/>
      <c r="AL69" s="274">
        <f>Kostengegevens!M11</f>
        <v>0</v>
      </c>
      <c r="AM69" s="274">
        <f>Kostengegevens!N11</f>
        <v>0</v>
      </c>
      <c r="AN69" s="3"/>
      <c r="AO69" s="3"/>
      <c r="AQ69" s="274">
        <f>Kostengegevens!R11</f>
        <v>0</v>
      </c>
      <c r="AR69" s="274">
        <f>Kostengegevens!S11</f>
        <v>0</v>
      </c>
      <c r="AS69" s="3"/>
      <c r="AT69" s="3"/>
      <c r="AV69" s="274">
        <f>Kostengegevens!W11</f>
        <v>0</v>
      </c>
      <c r="AW69" s="274">
        <f>Kostengegevens!X11</f>
        <v>0</v>
      </c>
      <c r="AX69" s="3"/>
      <c r="AY69" s="3"/>
      <c r="BA69" s="274">
        <f>Kostengegevens!AB11</f>
        <v>0</v>
      </c>
      <c r="BB69" s="274">
        <f>Kostengegevens!AC11</f>
        <v>0</v>
      </c>
      <c r="BC69" s="3"/>
      <c r="BD69" s="3"/>
      <c r="BH69" s="78">
        <v>7</v>
      </c>
      <c r="BJ69" s="152"/>
      <c r="CA69" s="427"/>
      <c r="CB69" s="428"/>
      <c r="CC69" s="482">
        <f>CD69</f>
        <v>20</v>
      </c>
      <c r="CD69" s="483">
        <v>20</v>
      </c>
      <c r="CE69" s="459" t="s">
        <v>46</v>
      </c>
      <c r="CF69" s="459"/>
      <c r="CG69" s="427"/>
      <c r="CH69" s="428"/>
      <c r="CI69" s="482">
        <f>CJ69</f>
        <v>20</v>
      </c>
      <c r="CJ69" s="483">
        <v>20</v>
      </c>
      <c r="CK69" s="459" t="s">
        <v>46</v>
      </c>
      <c r="CL69" s="459"/>
      <c r="CM69" s="427"/>
      <c r="CN69" s="428"/>
      <c r="CO69" s="482">
        <f>CP69</f>
        <v>20</v>
      </c>
      <c r="CP69" s="483">
        <v>20</v>
      </c>
      <c r="CQ69" s="459" t="s">
        <v>46</v>
      </c>
      <c r="CR69" s="459"/>
      <c r="CS69" s="427"/>
      <c r="CT69" s="428"/>
      <c r="CU69" s="482">
        <f>CV69</f>
        <v>20</v>
      </c>
      <c r="CV69" s="483">
        <v>20</v>
      </c>
      <c r="CW69" s="459" t="s">
        <v>46</v>
      </c>
      <c r="CX69" s="459"/>
      <c r="CY69" s="427"/>
      <c r="CZ69" s="428"/>
      <c r="DA69" s="482"/>
      <c r="DB69" s="483"/>
      <c r="DC69" s="459"/>
      <c r="DD69" s="459"/>
    </row>
    <row r="70" spans="3:108" ht="12.75" customHeight="1" x14ac:dyDescent="0.2">
      <c r="C70" s="16" t="s">
        <v>194</v>
      </c>
      <c r="D70" s="427"/>
      <c r="E70" s="428"/>
      <c r="F70" s="482">
        <f>G70</f>
        <v>30</v>
      </c>
      <c r="G70" s="483">
        <v>30</v>
      </c>
      <c r="H70" s="459" t="s">
        <v>46</v>
      </c>
      <c r="I70" s="459"/>
      <c r="J70" s="16" t="s">
        <v>475</v>
      </c>
      <c r="K70" s="30"/>
      <c r="L70" s="19"/>
      <c r="M70" s="19"/>
      <c r="N70" s="19"/>
      <c r="O70" s="18"/>
      <c r="T70" s="91"/>
      <c r="U70" s="263"/>
      <c r="V70" s="263"/>
      <c r="W70" s="263"/>
      <c r="X70" s="263"/>
      <c r="Y70" s="264"/>
      <c r="AA70" s="2" t="s">
        <v>472</v>
      </c>
      <c r="AB70" s="274">
        <f>Kostengegevens!C12</f>
        <v>0</v>
      </c>
      <c r="AC70" s="274">
        <f>Kostengegevens!D12</f>
        <v>0</v>
      </c>
      <c r="AD70" s="3"/>
      <c r="AE70" s="274">
        <f>Kostengegevens!F12</f>
        <v>0</v>
      </c>
      <c r="AF70" s="3"/>
      <c r="AG70" s="274">
        <f>Kostengegevens!H12</f>
        <v>0</v>
      </c>
      <c r="AH70" s="274">
        <f>Kostengegevens!I12</f>
        <v>0</v>
      </c>
      <c r="AI70" s="3"/>
      <c r="AJ70" s="274">
        <f>Kostengegevens!K12</f>
        <v>0</v>
      </c>
      <c r="AL70" s="274">
        <f>Kostengegevens!M12</f>
        <v>0</v>
      </c>
      <c r="AM70" s="274">
        <f>Kostengegevens!N12</f>
        <v>0</v>
      </c>
      <c r="AN70" s="3"/>
      <c r="AO70" s="274">
        <f>Kostengegevens!P12</f>
        <v>0</v>
      </c>
      <c r="AQ70" s="274">
        <f>Kostengegevens!R12</f>
        <v>0</v>
      </c>
      <c r="AR70" s="274">
        <f>Kostengegevens!S12</f>
        <v>0</v>
      </c>
      <c r="AS70" s="3"/>
      <c r="AT70" s="274">
        <f>Kostengegevens!U12</f>
        <v>0</v>
      </c>
      <c r="AV70" s="274">
        <f>Kostengegevens!W12</f>
        <v>0</v>
      </c>
      <c r="AW70" s="274">
        <f>Kostengegevens!X12</f>
        <v>0</v>
      </c>
      <c r="AX70" s="3"/>
      <c r="AY70" s="274">
        <f>Kostengegevens!Z12</f>
        <v>0</v>
      </c>
      <c r="BA70" s="274">
        <f>Kostengegevens!AB12</f>
        <v>0</v>
      </c>
      <c r="BB70" s="274">
        <f>Kostengegevens!AC12</f>
        <v>0</v>
      </c>
      <c r="BC70" s="3"/>
      <c r="BD70" s="274">
        <f>Kostengegevens!AE12</f>
        <v>0</v>
      </c>
      <c r="BH70" s="78">
        <v>8</v>
      </c>
      <c r="BJ70" s="152"/>
      <c r="CA70" s="427"/>
      <c r="CB70" s="428"/>
      <c r="CC70" s="482">
        <f>CD70</f>
        <v>30</v>
      </c>
      <c r="CD70" s="483">
        <v>30</v>
      </c>
      <c r="CE70" s="459" t="s">
        <v>46</v>
      </c>
      <c r="CF70" s="459"/>
      <c r="CG70" s="427"/>
      <c r="CH70" s="428"/>
      <c r="CI70" s="482">
        <f>CJ70</f>
        <v>30</v>
      </c>
      <c r="CJ70" s="483">
        <v>30</v>
      </c>
      <c r="CK70" s="459" t="s">
        <v>46</v>
      </c>
      <c r="CL70" s="459"/>
      <c r="CM70" s="427"/>
      <c r="CN70" s="428"/>
      <c r="CO70" s="482">
        <f>CP70</f>
        <v>30</v>
      </c>
      <c r="CP70" s="483">
        <v>30</v>
      </c>
      <c r="CQ70" s="459" t="s">
        <v>46</v>
      </c>
      <c r="CR70" s="459"/>
      <c r="CS70" s="427"/>
      <c r="CT70" s="428"/>
      <c r="CU70" s="482">
        <f>CV70</f>
        <v>30</v>
      </c>
      <c r="CV70" s="483">
        <v>30</v>
      </c>
      <c r="CW70" s="459" t="s">
        <v>46</v>
      </c>
      <c r="CX70" s="459"/>
      <c r="CY70" s="427"/>
      <c r="CZ70" s="428"/>
      <c r="DA70" s="482"/>
      <c r="DB70" s="483"/>
      <c r="DC70" s="459"/>
      <c r="DD70" s="459"/>
    </row>
    <row r="71" spans="3:108" ht="12.75" customHeight="1" x14ac:dyDescent="0.2">
      <c r="C71" s="16" t="s">
        <v>196</v>
      </c>
      <c r="D71" s="427"/>
      <c r="E71" s="428"/>
      <c r="F71" s="482">
        <f>G71</f>
        <v>20</v>
      </c>
      <c r="G71" s="483">
        <v>20</v>
      </c>
      <c r="H71" s="459" t="s">
        <v>46</v>
      </c>
      <c r="I71" s="459"/>
      <c r="J71" s="16" t="s">
        <v>261</v>
      </c>
      <c r="K71" s="30"/>
      <c r="L71" s="19"/>
      <c r="M71" s="19"/>
      <c r="N71" s="19"/>
      <c r="O71" s="18"/>
      <c r="T71" s="91"/>
      <c r="U71" s="263"/>
      <c r="V71" s="263"/>
      <c r="W71" s="263"/>
      <c r="X71" s="263"/>
      <c r="Y71" s="264"/>
      <c r="AA71" s="2" t="s">
        <v>471</v>
      </c>
      <c r="AB71" s="274">
        <f>Kostengegevens!C13</f>
        <v>0</v>
      </c>
      <c r="AC71" s="274">
        <f>Kostengegevens!D13</f>
        <v>0</v>
      </c>
      <c r="AD71" s="274">
        <f>Kostengegevens!E13</f>
        <v>0</v>
      </c>
      <c r="AE71" s="274">
        <f>Kostengegevens!F13</f>
        <v>0</v>
      </c>
      <c r="AF71" s="3"/>
      <c r="AG71" s="274">
        <f>Kostengegevens!H13</f>
        <v>0</v>
      </c>
      <c r="AH71" s="274">
        <f>Kostengegevens!I13</f>
        <v>0</v>
      </c>
      <c r="AI71" s="274">
        <f>Kostengegevens!J13</f>
        <v>0</v>
      </c>
      <c r="AJ71" s="274">
        <f>Kostengegevens!K13</f>
        <v>0</v>
      </c>
      <c r="AL71" s="274">
        <f>Kostengegevens!M13</f>
        <v>0</v>
      </c>
      <c r="AM71" s="274">
        <f>Kostengegevens!N13</f>
        <v>0</v>
      </c>
      <c r="AN71" s="274">
        <f>Kostengegevens!O13</f>
        <v>0</v>
      </c>
      <c r="AO71" s="274">
        <f>Kostengegevens!P13</f>
        <v>0</v>
      </c>
      <c r="AQ71" s="274">
        <f>Kostengegevens!R13</f>
        <v>0</v>
      </c>
      <c r="AR71" s="274">
        <f>Kostengegevens!S13</f>
        <v>0</v>
      </c>
      <c r="AS71" s="274">
        <f>Kostengegevens!T13</f>
        <v>0</v>
      </c>
      <c r="AT71" s="274">
        <f>Kostengegevens!U13</f>
        <v>0</v>
      </c>
      <c r="AV71" s="274">
        <f>Kostengegevens!W13</f>
        <v>0</v>
      </c>
      <c r="AW71" s="274">
        <f>Kostengegevens!X13</f>
        <v>0</v>
      </c>
      <c r="AX71" s="274">
        <f>Kostengegevens!Y13</f>
        <v>0</v>
      </c>
      <c r="AY71" s="274">
        <f>Kostengegevens!Z13</f>
        <v>0</v>
      </c>
      <c r="BA71" s="274">
        <f>Kostengegevens!AB13</f>
        <v>0</v>
      </c>
      <c r="BB71" s="274">
        <f>Kostengegevens!AC13</f>
        <v>0</v>
      </c>
      <c r="BC71" s="274">
        <f>Kostengegevens!AD13</f>
        <v>0</v>
      </c>
      <c r="BD71" s="274">
        <f>Kostengegevens!AE13</f>
        <v>0</v>
      </c>
      <c r="BH71" s="78">
        <v>9</v>
      </c>
      <c r="BJ71" s="152"/>
      <c r="CA71" s="427"/>
      <c r="CB71" s="428"/>
      <c r="CC71" s="482">
        <f>CD71</f>
        <v>20</v>
      </c>
      <c r="CD71" s="483">
        <v>20</v>
      </c>
      <c r="CE71" s="459" t="s">
        <v>46</v>
      </c>
      <c r="CF71" s="459"/>
      <c r="CG71" s="427"/>
      <c r="CH71" s="428"/>
      <c r="CI71" s="482">
        <f>CJ71</f>
        <v>20</v>
      </c>
      <c r="CJ71" s="483">
        <v>20</v>
      </c>
      <c r="CK71" s="459" t="s">
        <v>46</v>
      </c>
      <c r="CL71" s="459"/>
      <c r="CM71" s="427"/>
      <c r="CN71" s="428"/>
      <c r="CO71" s="482">
        <f>CP71</f>
        <v>20</v>
      </c>
      <c r="CP71" s="483">
        <v>20</v>
      </c>
      <c r="CQ71" s="459" t="s">
        <v>46</v>
      </c>
      <c r="CR71" s="459"/>
      <c r="CS71" s="427"/>
      <c r="CT71" s="428"/>
      <c r="CU71" s="482">
        <f>CV71</f>
        <v>20</v>
      </c>
      <c r="CV71" s="483">
        <v>20</v>
      </c>
      <c r="CW71" s="459" t="s">
        <v>46</v>
      </c>
      <c r="CX71" s="459"/>
      <c r="CY71" s="427"/>
      <c r="CZ71" s="428"/>
      <c r="DA71" s="482"/>
      <c r="DB71" s="483"/>
      <c r="DC71" s="459"/>
      <c r="DD71" s="459"/>
    </row>
    <row r="72" spans="3:108" ht="12.75" customHeight="1" x14ac:dyDescent="0.2">
      <c r="C72" s="16" t="s">
        <v>195</v>
      </c>
      <c r="D72" s="427"/>
      <c r="E72" s="428"/>
      <c r="F72" s="482">
        <f>G72</f>
        <v>30</v>
      </c>
      <c r="G72" s="483">
        <v>30</v>
      </c>
      <c r="H72" s="459" t="s">
        <v>46</v>
      </c>
      <c r="I72" s="459"/>
      <c r="J72" s="16"/>
      <c r="K72" s="30"/>
      <c r="L72" s="19"/>
      <c r="M72" s="19"/>
      <c r="N72" s="19"/>
      <c r="O72" s="18"/>
      <c r="T72" s="91"/>
      <c r="U72" s="263"/>
      <c r="V72" s="263"/>
      <c r="W72" s="263"/>
      <c r="X72" s="263"/>
      <c r="Y72" s="263"/>
      <c r="AA72" s="2" t="s">
        <v>463</v>
      </c>
      <c r="AB72" s="274">
        <f>Kostengegevens!C14</f>
        <v>0</v>
      </c>
      <c r="AC72" s="274">
        <f>Kostengegevens!D14</f>
        <v>0</v>
      </c>
      <c r="AD72" s="274">
        <f>Kostengegevens!E14</f>
        <v>0</v>
      </c>
      <c r="AE72" s="274">
        <f>Kostengegevens!F14</f>
        <v>0</v>
      </c>
      <c r="AF72" s="3"/>
      <c r="AG72" s="274">
        <f>Kostengegevens!H14</f>
        <v>0</v>
      </c>
      <c r="AH72" s="274">
        <f>Kostengegevens!I14</f>
        <v>0</v>
      </c>
      <c r="AI72" s="274">
        <f>Kostengegevens!J14</f>
        <v>0</v>
      </c>
      <c r="AJ72" s="274">
        <f>Kostengegevens!K14</f>
        <v>0</v>
      </c>
      <c r="AL72" s="274">
        <f>Kostengegevens!M14</f>
        <v>0</v>
      </c>
      <c r="AM72" s="274">
        <f>Kostengegevens!N14</f>
        <v>0</v>
      </c>
      <c r="AN72" s="274">
        <f>Kostengegevens!O14</f>
        <v>0</v>
      </c>
      <c r="AO72" s="274">
        <f>Kostengegevens!P14</f>
        <v>0</v>
      </c>
      <c r="AQ72" s="274">
        <f>Kostengegevens!R14</f>
        <v>0</v>
      </c>
      <c r="AR72" s="274">
        <f>Kostengegevens!S14</f>
        <v>0</v>
      </c>
      <c r="AS72" s="274">
        <f>Kostengegevens!T14</f>
        <v>0</v>
      </c>
      <c r="AT72" s="274">
        <f>Kostengegevens!U14</f>
        <v>0</v>
      </c>
      <c r="AV72" s="274">
        <f>Kostengegevens!W14</f>
        <v>0</v>
      </c>
      <c r="AW72" s="274">
        <f>Kostengegevens!X14</f>
        <v>0</v>
      </c>
      <c r="AX72" s="274">
        <f>Kostengegevens!Y14</f>
        <v>0</v>
      </c>
      <c r="AY72" s="274">
        <f>Kostengegevens!Z14</f>
        <v>0</v>
      </c>
      <c r="BA72" s="274">
        <f>Kostengegevens!AB14</f>
        <v>0</v>
      </c>
      <c r="BB72" s="274">
        <f>Kostengegevens!AC14</f>
        <v>0</v>
      </c>
      <c r="BC72" s="274">
        <f>Kostengegevens!AD14</f>
        <v>0</v>
      </c>
      <c r="BD72" s="274">
        <f>Kostengegevens!AE14</f>
        <v>0</v>
      </c>
      <c r="BH72" s="78">
        <v>10</v>
      </c>
      <c r="BJ72" s="152"/>
      <c r="CA72" s="427"/>
      <c r="CB72" s="428"/>
      <c r="CC72" s="482">
        <f>CD72</f>
        <v>30</v>
      </c>
      <c r="CD72" s="483">
        <v>30</v>
      </c>
      <c r="CE72" s="459" t="s">
        <v>46</v>
      </c>
      <c r="CF72" s="459"/>
      <c r="CG72" s="427"/>
      <c r="CH72" s="428"/>
      <c r="CI72" s="482">
        <f>CJ72</f>
        <v>30</v>
      </c>
      <c r="CJ72" s="483">
        <v>30</v>
      </c>
      <c r="CK72" s="459" t="s">
        <v>46</v>
      </c>
      <c r="CL72" s="459"/>
      <c r="CM72" s="427"/>
      <c r="CN72" s="428"/>
      <c r="CO72" s="482">
        <f>CP72</f>
        <v>30</v>
      </c>
      <c r="CP72" s="483">
        <v>30</v>
      </c>
      <c r="CQ72" s="459" t="s">
        <v>46</v>
      </c>
      <c r="CR72" s="459"/>
      <c r="CS72" s="427"/>
      <c r="CT72" s="428"/>
      <c r="CU72" s="482">
        <f>CV72</f>
        <v>30</v>
      </c>
      <c r="CV72" s="483">
        <v>30</v>
      </c>
      <c r="CW72" s="459" t="s">
        <v>46</v>
      </c>
      <c r="CX72" s="459"/>
      <c r="CY72" s="427"/>
      <c r="CZ72" s="428"/>
      <c r="DA72" s="482"/>
      <c r="DB72" s="483"/>
      <c r="DC72" s="459"/>
      <c r="DD72" s="459"/>
    </row>
    <row r="73" spans="3:108" ht="12.75" customHeight="1" x14ac:dyDescent="0.2">
      <c r="C73" s="15" t="s">
        <v>187</v>
      </c>
      <c r="D73" s="461"/>
      <c r="E73" s="428"/>
      <c r="F73" s="479"/>
      <c r="G73" s="484"/>
      <c r="H73" s="481"/>
      <c r="I73" s="481"/>
      <c r="J73" s="189"/>
      <c r="K73" s="30"/>
      <c r="L73" s="186"/>
      <c r="M73" s="19"/>
      <c r="N73" s="19"/>
      <c r="O73" s="18"/>
      <c r="T73" s="91"/>
      <c r="U73" s="263"/>
      <c r="V73" s="263"/>
      <c r="W73" s="263"/>
      <c r="X73" s="263"/>
      <c r="Y73" s="263"/>
      <c r="BH73" s="78">
        <v>11</v>
      </c>
      <c r="BJ73" s="152"/>
      <c r="CA73" s="461"/>
      <c r="CB73" s="428"/>
      <c r="CC73" s="479"/>
      <c r="CD73" s="484"/>
      <c r="CE73" s="481"/>
      <c r="CF73" s="481"/>
      <c r="CG73" s="461"/>
      <c r="CH73" s="428"/>
      <c r="CI73" s="479"/>
      <c r="CJ73" s="484"/>
      <c r="CK73" s="481"/>
      <c r="CL73" s="481"/>
      <c r="CM73" s="461"/>
      <c r="CN73" s="428"/>
      <c r="CO73" s="479"/>
      <c r="CP73" s="484"/>
      <c r="CQ73" s="481"/>
      <c r="CR73" s="481"/>
      <c r="CS73" s="461"/>
      <c r="CT73" s="428"/>
      <c r="CU73" s="479"/>
      <c r="CV73" s="484"/>
      <c r="CW73" s="481"/>
      <c r="CX73" s="481"/>
      <c r="CY73" s="461"/>
      <c r="CZ73" s="428"/>
      <c r="DA73" s="479"/>
      <c r="DB73" s="484"/>
      <c r="DC73" s="481"/>
      <c r="DD73" s="481"/>
    </row>
    <row r="74" spans="3:108" ht="12.75" customHeight="1" x14ac:dyDescent="0.2">
      <c r="C74" s="16" t="s">
        <v>245</v>
      </c>
      <c r="D74" s="427"/>
      <c r="E74" s="428"/>
      <c r="F74" s="485" t="s">
        <v>181</v>
      </c>
      <c r="G74" s="486" t="str">
        <f>BJ74</f>
        <v>Rc=3,5</v>
      </c>
      <c r="H74" s="459" t="s">
        <v>205</v>
      </c>
      <c r="I74" s="459"/>
      <c r="J74" s="16" t="s">
        <v>248</v>
      </c>
      <c r="K74" s="30"/>
      <c r="L74" s="19"/>
      <c r="M74" s="19"/>
      <c r="N74" s="19"/>
      <c r="O74" s="18"/>
      <c r="T74" s="91" t="str">
        <f>CONCATENATE("",BJ74)</f>
        <v>Rc=3,5</v>
      </c>
      <c r="U74" s="263" t="s">
        <v>181</v>
      </c>
      <c r="V74" s="263" t="s">
        <v>182</v>
      </c>
      <c r="W74" s="263" t="s">
        <v>183</v>
      </c>
      <c r="X74" s="263" t="s">
        <v>184</v>
      </c>
      <c r="Y74" s="263"/>
      <c r="AA74" s="2" t="s">
        <v>245</v>
      </c>
      <c r="AB74" s="4">
        <f>IF(F74=U74,3.5,IF(F74=V74,4,IF(F74=W74,5,IF(F74=X74,8,"fout"))))</f>
        <v>3.5</v>
      </c>
      <c r="BF74" s="2" t="s">
        <v>38</v>
      </c>
      <c r="BH74" s="78">
        <v>12</v>
      </c>
      <c r="BJ74" s="152" t="str">
        <f>HLOOKUP(BJ$9,$BL$63:$BP$89,BH74,FALSE)</f>
        <v>Rc=3,5</v>
      </c>
      <c r="BL74" s="2" t="s">
        <v>181</v>
      </c>
      <c r="BM74" s="2" t="s">
        <v>181</v>
      </c>
      <c r="BN74" s="2" t="s">
        <v>181</v>
      </c>
      <c r="BO74" s="2" t="s">
        <v>181</v>
      </c>
      <c r="BP74" s="2" t="s">
        <v>181</v>
      </c>
      <c r="CA74" s="427"/>
      <c r="CB74" s="428"/>
      <c r="CC74" s="485" t="s">
        <v>181</v>
      </c>
      <c r="CD74" s="486">
        <f>EG74</f>
        <v>0</v>
      </c>
      <c r="CE74" s="459" t="s">
        <v>205</v>
      </c>
      <c r="CF74" s="459"/>
      <c r="CG74" s="427"/>
      <c r="CH74" s="428"/>
      <c r="CI74" s="485" t="s">
        <v>181</v>
      </c>
      <c r="CJ74" s="486">
        <f>EM74</f>
        <v>0</v>
      </c>
      <c r="CK74" s="459" t="s">
        <v>205</v>
      </c>
      <c r="CL74" s="459"/>
      <c r="CM74" s="427"/>
      <c r="CN74" s="428"/>
      <c r="CO74" s="485" t="s">
        <v>181</v>
      </c>
      <c r="CP74" s="486">
        <f>ES74</f>
        <v>0</v>
      </c>
      <c r="CQ74" s="459" t="s">
        <v>205</v>
      </c>
      <c r="CR74" s="459"/>
      <c r="CS74" s="427"/>
      <c r="CT74" s="428"/>
      <c r="CU74" s="485" t="s">
        <v>181</v>
      </c>
      <c r="CV74" s="486">
        <f>EY74</f>
        <v>0</v>
      </c>
      <c r="CW74" s="459" t="s">
        <v>205</v>
      </c>
      <c r="CX74" s="459"/>
      <c r="CY74" s="427"/>
      <c r="CZ74" s="428"/>
      <c r="DA74" s="485"/>
      <c r="DB74" s="486"/>
      <c r="DC74" s="459"/>
      <c r="DD74" s="459"/>
    </row>
    <row r="75" spans="3:108" ht="12.75" customHeight="1" x14ac:dyDescent="0.2">
      <c r="C75" s="16" t="s">
        <v>246</v>
      </c>
      <c r="D75" s="427"/>
      <c r="E75" s="428"/>
      <c r="F75" s="485" t="s">
        <v>181</v>
      </c>
      <c r="G75" s="486" t="str">
        <f>BJ75</f>
        <v>Rc=3,5</v>
      </c>
      <c r="H75" s="459" t="s">
        <v>205</v>
      </c>
      <c r="I75" s="459"/>
      <c r="J75" s="16" t="s">
        <v>249</v>
      </c>
      <c r="K75" s="30"/>
      <c r="L75" s="19"/>
      <c r="M75" s="19"/>
      <c r="N75" s="19"/>
      <c r="O75" s="18"/>
      <c r="T75" s="91" t="str">
        <f t="shared" ref="T75:T77" si="75">CONCATENATE("",BJ75)</f>
        <v>Rc=3,5</v>
      </c>
      <c r="U75" s="263" t="s">
        <v>181</v>
      </c>
      <c r="V75" s="263" t="s">
        <v>182</v>
      </c>
      <c r="W75" s="263" t="s">
        <v>183</v>
      </c>
      <c r="X75" s="263" t="s">
        <v>184</v>
      </c>
      <c r="Y75" s="263"/>
      <c r="AA75" s="2" t="s">
        <v>246</v>
      </c>
      <c r="AB75" s="4">
        <f t="shared" ref="AB75:AB76" si="76">IF(F75=U75,3.5,IF(F75=V75,4,IF(F75=W75,5,IF(F75=X75,8,"fout"))))</f>
        <v>3.5</v>
      </c>
      <c r="BF75" s="2" t="s">
        <v>39</v>
      </c>
      <c r="BH75" s="78">
        <v>13</v>
      </c>
      <c r="BJ75" s="152" t="str">
        <f>HLOOKUP(BJ$9,$BL$63:$BP$89,BH75,FALSE)</f>
        <v>Rc=3,5</v>
      </c>
      <c r="BL75" s="2" t="s">
        <v>181</v>
      </c>
      <c r="BM75" s="2" t="s">
        <v>181</v>
      </c>
      <c r="BN75" s="2" t="s">
        <v>181</v>
      </c>
      <c r="BO75" s="2" t="s">
        <v>181</v>
      </c>
      <c r="BP75" s="2" t="s">
        <v>181</v>
      </c>
      <c r="CA75" s="427"/>
      <c r="CB75" s="428"/>
      <c r="CC75" s="485" t="s">
        <v>181</v>
      </c>
      <c r="CD75" s="486">
        <f>EG75</f>
        <v>0</v>
      </c>
      <c r="CE75" s="459" t="s">
        <v>205</v>
      </c>
      <c r="CF75" s="459"/>
      <c r="CG75" s="427"/>
      <c r="CH75" s="428"/>
      <c r="CI75" s="485" t="s">
        <v>181</v>
      </c>
      <c r="CJ75" s="486">
        <f>EM75</f>
        <v>0</v>
      </c>
      <c r="CK75" s="459" t="s">
        <v>205</v>
      </c>
      <c r="CL75" s="459"/>
      <c r="CM75" s="427"/>
      <c r="CN75" s="428"/>
      <c r="CO75" s="485" t="s">
        <v>181</v>
      </c>
      <c r="CP75" s="486">
        <f>ES75</f>
        <v>0</v>
      </c>
      <c r="CQ75" s="459" t="s">
        <v>205</v>
      </c>
      <c r="CR75" s="459"/>
      <c r="CS75" s="427"/>
      <c r="CT75" s="428"/>
      <c r="CU75" s="485" t="s">
        <v>181</v>
      </c>
      <c r="CV75" s="486">
        <f>EY75</f>
        <v>0</v>
      </c>
      <c r="CW75" s="459" t="s">
        <v>205</v>
      </c>
      <c r="CX75" s="459"/>
      <c r="CY75" s="427"/>
      <c r="CZ75" s="428"/>
      <c r="DA75" s="485"/>
      <c r="DB75" s="486"/>
      <c r="DC75" s="459"/>
      <c r="DD75" s="459"/>
    </row>
    <row r="76" spans="3:108" ht="12.75" customHeight="1" x14ac:dyDescent="0.2">
      <c r="C76" s="16" t="s">
        <v>247</v>
      </c>
      <c r="D76" s="427"/>
      <c r="E76" s="428"/>
      <c r="F76" s="485" t="s">
        <v>181</v>
      </c>
      <c r="G76" s="486" t="str">
        <f>BJ76</f>
        <v>Rc=3,5</v>
      </c>
      <c r="H76" s="459" t="s">
        <v>205</v>
      </c>
      <c r="I76" s="459"/>
      <c r="J76" s="16" t="s">
        <v>250</v>
      </c>
      <c r="K76" s="30"/>
      <c r="L76" s="19"/>
      <c r="M76" s="19"/>
      <c r="N76" s="19"/>
      <c r="O76" s="18"/>
      <c r="T76" s="91" t="str">
        <f t="shared" si="75"/>
        <v>Rc=3,5</v>
      </c>
      <c r="U76" s="263" t="s">
        <v>181</v>
      </c>
      <c r="V76" s="263" t="s">
        <v>182</v>
      </c>
      <c r="W76" s="263" t="s">
        <v>183</v>
      </c>
      <c r="X76" s="263" t="s">
        <v>184</v>
      </c>
      <c r="Y76" s="263"/>
      <c r="AA76" s="2" t="s">
        <v>247</v>
      </c>
      <c r="AB76" s="4">
        <f t="shared" si="76"/>
        <v>3.5</v>
      </c>
      <c r="BF76" s="2" t="s">
        <v>40</v>
      </c>
      <c r="BH76" s="78">
        <v>14</v>
      </c>
      <c r="BJ76" s="152" t="str">
        <f>HLOOKUP(BJ$9,$BL$63:$BP$89,BH76,FALSE)</f>
        <v>Rc=3,5</v>
      </c>
      <c r="BL76" s="2" t="s">
        <v>181</v>
      </c>
      <c r="BM76" s="2" t="s">
        <v>181</v>
      </c>
      <c r="BN76" s="2" t="s">
        <v>181</v>
      </c>
      <c r="BO76" s="2" t="s">
        <v>181</v>
      </c>
      <c r="BP76" s="2" t="s">
        <v>181</v>
      </c>
      <c r="CA76" s="427"/>
      <c r="CB76" s="428"/>
      <c r="CC76" s="485" t="s">
        <v>181</v>
      </c>
      <c r="CD76" s="486">
        <f>EG76</f>
        <v>0</v>
      </c>
      <c r="CE76" s="459" t="s">
        <v>205</v>
      </c>
      <c r="CF76" s="459"/>
      <c r="CG76" s="427"/>
      <c r="CH76" s="428"/>
      <c r="CI76" s="485" t="s">
        <v>181</v>
      </c>
      <c r="CJ76" s="486">
        <f>EM76</f>
        <v>0</v>
      </c>
      <c r="CK76" s="459" t="s">
        <v>205</v>
      </c>
      <c r="CL76" s="459"/>
      <c r="CM76" s="427"/>
      <c r="CN76" s="428"/>
      <c r="CO76" s="485" t="s">
        <v>181</v>
      </c>
      <c r="CP76" s="486">
        <f>ES76</f>
        <v>0</v>
      </c>
      <c r="CQ76" s="459" t="s">
        <v>205</v>
      </c>
      <c r="CR76" s="459"/>
      <c r="CS76" s="427"/>
      <c r="CT76" s="428"/>
      <c r="CU76" s="485" t="s">
        <v>181</v>
      </c>
      <c r="CV76" s="486">
        <f>EY76</f>
        <v>0</v>
      </c>
      <c r="CW76" s="459" t="s">
        <v>205</v>
      </c>
      <c r="CX76" s="459"/>
      <c r="CY76" s="427"/>
      <c r="CZ76" s="428"/>
      <c r="DA76" s="485"/>
      <c r="DB76" s="486"/>
      <c r="DC76" s="459"/>
      <c r="DD76" s="459"/>
    </row>
    <row r="77" spans="3:108" ht="12.75" customHeight="1" x14ac:dyDescent="0.2">
      <c r="C77" s="15" t="s">
        <v>188</v>
      </c>
      <c r="D77" s="461"/>
      <c r="E77" s="428"/>
      <c r="F77" s="479"/>
      <c r="G77" s="484"/>
      <c r="H77" s="481"/>
      <c r="I77" s="481"/>
      <c r="J77" s="16"/>
      <c r="K77" s="19"/>
      <c r="L77" s="19"/>
      <c r="M77" s="19"/>
      <c r="N77" s="19"/>
      <c r="O77" s="18"/>
      <c r="T77" s="91" t="str">
        <f t="shared" si="75"/>
        <v/>
      </c>
      <c r="U77" s="263"/>
      <c r="V77" s="263"/>
      <c r="W77" s="263"/>
      <c r="X77" s="263"/>
      <c r="Y77" s="263"/>
      <c r="BH77" s="78">
        <v>15</v>
      </c>
      <c r="BJ77" s="152"/>
      <c r="CA77" s="461"/>
      <c r="CB77" s="428"/>
      <c r="CC77" s="479"/>
      <c r="CD77" s="484"/>
      <c r="CE77" s="481"/>
      <c r="CF77" s="481"/>
      <c r="CG77" s="461"/>
      <c r="CH77" s="428"/>
      <c r="CI77" s="479"/>
      <c r="CJ77" s="484"/>
      <c r="CK77" s="481"/>
      <c r="CL77" s="481"/>
      <c r="CM77" s="461"/>
      <c r="CN77" s="428"/>
      <c r="CO77" s="479"/>
      <c r="CP77" s="484"/>
      <c r="CQ77" s="481"/>
      <c r="CR77" s="481"/>
      <c r="CS77" s="461"/>
      <c r="CT77" s="428"/>
      <c r="CU77" s="479"/>
      <c r="CV77" s="484"/>
      <c r="CW77" s="481"/>
      <c r="CX77" s="481"/>
      <c r="CY77" s="461"/>
      <c r="CZ77" s="428"/>
      <c r="DA77" s="479"/>
      <c r="DB77" s="484"/>
      <c r="DC77" s="481"/>
      <c r="DD77" s="481"/>
    </row>
    <row r="78" spans="3:108" ht="12.75" customHeight="1" x14ac:dyDescent="0.2">
      <c r="C78" s="16" t="s">
        <v>268</v>
      </c>
      <c r="D78" s="427"/>
      <c r="E78" s="428"/>
      <c r="F78" s="487" t="s">
        <v>208</v>
      </c>
      <c r="G78" s="486" t="str">
        <f>BJ78</f>
        <v>U=1,65</v>
      </c>
      <c r="H78" s="459" t="s">
        <v>206</v>
      </c>
      <c r="I78" s="459"/>
      <c r="J78" s="16" t="s">
        <v>411</v>
      </c>
      <c r="K78" s="19"/>
      <c r="L78" s="19"/>
      <c r="M78" s="19"/>
      <c r="N78" s="19"/>
      <c r="O78" s="18"/>
      <c r="T78" s="267" t="str">
        <f>CONCATENATE("",BJ78)</f>
        <v>U=1,65</v>
      </c>
      <c r="U78" s="265" t="s">
        <v>208</v>
      </c>
      <c r="V78" s="265" t="s">
        <v>209</v>
      </c>
      <c r="W78" s="263"/>
      <c r="X78" s="263"/>
      <c r="Y78" s="263"/>
      <c r="AA78" s="2" t="s">
        <v>460</v>
      </c>
      <c r="AB78" s="4">
        <f>IF(F78=U78,1.65,IF(F78=V78,0.95,"fout"))</f>
        <v>1.65</v>
      </c>
      <c r="BF78" s="2" t="s">
        <v>16</v>
      </c>
      <c r="BH78" s="78">
        <v>16</v>
      </c>
      <c r="BJ78" s="152" t="str">
        <f>HLOOKUP(BJ$9,$BL$63:$BP$89,BH78,FALSE)</f>
        <v>U=1,65</v>
      </c>
      <c r="BL78" s="33" t="s">
        <v>208</v>
      </c>
      <c r="BM78" s="33" t="s">
        <v>208</v>
      </c>
      <c r="BN78" s="33" t="s">
        <v>208</v>
      </c>
      <c r="BO78" s="33" t="s">
        <v>208</v>
      </c>
      <c r="BP78" s="33" t="s">
        <v>208</v>
      </c>
      <c r="BQ78" s="33"/>
      <c r="CA78" s="427"/>
      <c r="CB78" s="428"/>
      <c r="CC78" s="487" t="s">
        <v>208</v>
      </c>
      <c r="CD78" s="486">
        <f>EG78</f>
        <v>0</v>
      </c>
      <c r="CE78" s="459" t="s">
        <v>206</v>
      </c>
      <c r="CF78" s="459"/>
      <c r="CG78" s="427"/>
      <c r="CH78" s="428"/>
      <c r="CI78" s="487" t="s">
        <v>208</v>
      </c>
      <c r="CJ78" s="486">
        <f>EM78</f>
        <v>0</v>
      </c>
      <c r="CK78" s="459" t="s">
        <v>206</v>
      </c>
      <c r="CL78" s="459"/>
      <c r="CM78" s="427"/>
      <c r="CN78" s="428"/>
      <c r="CO78" s="487" t="s">
        <v>208</v>
      </c>
      <c r="CP78" s="486">
        <f>ES78</f>
        <v>0</v>
      </c>
      <c r="CQ78" s="459" t="s">
        <v>206</v>
      </c>
      <c r="CR78" s="459"/>
      <c r="CS78" s="427"/>
      <c r="CT78" s="428"/>
      <c r="CU78" s="487" t="s">
        <v>208</v>
      </c>
      <c r="CV78" s="486">
        <f>EY78</f>
        <v>0</v>
      </c>
      <c r="CW78" s="459" t="s">
        <v>206</v>
      </c>
      <c r="CX78" s="459"/>
      <c r="CY78" s="427"/>
      <c r="CZ78" s="428"/>
      <c r="DA78" s="487"/>
      <c r="DB78" s="521"/>
      <c r="DC78" s="459"/>
      <c r="DD78" s="459"/>
    </row>
    <row r="79" spans="3:108" ht="12.75" customHeight="1" x14ac:dyDescent="0.2">
      <c r="C79" s="16" t="s">
        <v>269</v>
      </c>
      <c r="D79" s="427"/>
      <c r="E79" s="428"/>
      <c r="F79" s="487" t="s">
        <v>208</v>
      </c>
      <c r="G79" s="486" t="str">
        <f>BJ79</f>
        <v>U=1,65</v>
      </c>
      <c r="H79" s="459" t="s">
        <v>206</v>
      </c>
      <c r="I79" s="459"/>
      <c r="J79" s="16" t="s">
        <v>207</v>
      </c>
      <c r="K79" s="19"/>
      <c r="L79" s="19"/>
      <c r="M79" s="19"/>
      <c r="N79" s="19"/>
      <c r="O79" s="18"/>
      <c r="T79" s="267" t="str">
        <f>CONCATENATE("",BJ79)</f>
        <v>U=1,65</v>
      </c>
      <c r="U79" s="265" t="s">
        <v>208</v>
      </c>
      <c r="V79" s="265" t="s">
        <v>209</v>
      </c>
      <c r="W79" s="263"/>
      <c r="X79" s="263"/>
      <c r="Y79" s="263"/>
      <c r="AA79" s="2" t="s">
        <v>461</v>
      </c>
      <c r="AB79" s="4">
        <f>IF(F79=U79,1.65,IF(F79=V79,0.95,"fout"))</f>
        <v>1.65</v>
      </c>
      <c r="BF79" s="2" t="s">
        <v>41</v>
      </c>
      <c r="BH79" s="78">
        <v>17</v>
      </c>
      <c r="BJ79" s="152" t="str">
        <f>HLOOKUP(BJ$9,$BL$63:$BP$89,BH79,FALSE)</f>
        <v>U=1,65</v>
      </c>
      <c r="BL79" s="33" t="s">
        <v>208</v>
      </c>
      <c r="BM79" s="33" t="s">
        <v>208</v>
      </c>
      <c r="BN79" s="33" t="s">
        <v>208</v>
      </c>
      <c r="BO79" s="33" t="s">
        <v>208</v>
      </c>
      <c r="BP79" s="33" t="s">
        <v>208</v>
      </c>
      <c r="BQ79" s="33"/>
      <c r="CA79" s="427"/>
      <c r="CB79" s="428"/>
      <c r="CC79" s="487" t="s">
        <v>208</v>
      </c>
      <c r="CD79" s="486">
        <f>EG79</f>
        <v>0</v>
      </c>
      <c r="CE79" s="459" t="s">
        <v>206</v>
      </c>
      <c r="CF79" s="459"/>
      <c r="CG79" s="427"/>
      <c r="CH79" s="428"/>
      <c r="CI79" s="487" t="s">
        <v>208</v>
      </c>
      <c r="CJ79" s="486">
        <f>EM79</f>
        <v>0</v>
      </c>
      <c r="CK79" s="459" t="s">
        <v>206</v>
      </c>
      <c r="CL79" s="459"/>
      <c r="CM79" s="427"/>
      <c r="CN79" s="428"/>
      <c r="CO79" s="487" t="s">
        <v>208</v>
      </c>
      <c r="CP79" s="486">
        <f>ES79</f>
        <v>0</v>
      </c>
      <c r="CQ79" s="459" t="s">
        <v>206</v>
      </c>
      <c r="CR79" s="459"/>
      <c r="CS79" s="427"/>
      <c r="CT79" s="428"/>
      <c r="CU79" s="487" t="s">
        <v>208</v>
      </c>
      <c r="CV79" s="486">
        <f>EY79</f>
        <v>0</v>
      </c>
      <c r="CW79" s="459" t="s">
        <v>206</v>
      </c>
      <c r="CX79" s="459"/>
      <c r="CY79" s="427"/>
      <c r="CZ79" s="428"/>
      <c r="DA79" s="487"/>
      <c r="DB79" s="521"/>
      <c r="DC79" s="459"/>
      <c r="DD79" s="459"/>
    </row>
    <row r="80" spans="3:108" ht="12.75" customHeight="1" x14ac:dyDescent="0.2">
      <c r="C80" s="15" t="s">
        <v>189</v>
      </c>
      <c r="D80" s="461"/>
      <c r="E80" s="428"/>
      <c r="F80" s="479"/>
      <c r="G80" s="484"/>
      <c r="H80" s="481"/>
      <c r="I80" s="481"/>
      <c r="J80" s="189"/>
      <c r="K80" s="19"/>
      <c r="L80" s="19"/>
      <c r="M80" s="19"/>
      <c r="N80" s="19"/>
      <c r="O80" s="18"/>
      <c r="T80" s="91"/>
      <c r="U80" s="263"/>
      <c r="V80" s="263"/>
      <c r="W80" s="263"/>
      <c r="X80" s="263"/>
      <c r="Y80" s="263"/>
      <c r="BH80" s="78">
        <v>18</v>
      </c>
      <c r="BJ80" s="152"/>
      <c r="CA80" s="461"/>
      <c r="CB80" s="428"/>
      <c r="CC80" s="479"/>
      <c r="CD80" s="484"/>
      <c r="CE80" s="481"/>
      <c r="CF80" s="481"/>
      <c r="CG80" s="461"/>
      <c r="CH80" s="428"/>
      <c r="CI80" s="479"/>
      <c r="CJ80" s="484"/>
      <c r="CK80" s="481"/>
      <c r="CL80" s="481"/>
      <c r="CM80" s="461"/>
      <c r="CN80" s="428"/>
      <c r="CO80" s="479"/>
      <c r="CP80" s="484"/>
      <c r="CQ80" s="481"/>
      <c r="CR80" s="481"/>
      <c r="CS80" s="461"/>
      <c r="CT80" s="428"/>
      <c r="CU80" s="479"/>
      <c r="CV80" s="484"/>
      <c r="CW80" s="481"/>
      <c r="CX80" s="481"/>
      <c r="CY80" s="461"/>
      <c r="CZ80" s="428"/>
      <c r="DA80" s="479"/>
      <c r="DB80" s="484"/>
      <c r="DC80" s="481"/>
      <c r="DD80" s="481"/>
    </row>
    <row r="81" spans="2:108" ht="12.75" customHeight="1" x14ac:dyDescent="0.2">
      <c r="C81" s="16" t="s">
        <v>270</v>
      </c>
      <c r="D81" s="427"/>
      <c r="E81" s="428"/>
      <c r="F81" s="488">
        <v>0</v>
      </c>
      <c r="G81" s="486">
        <f>BJ81</f>
        <v>0</v>
      </c>
      <c r="H81" s="459" t="s">
        <v>46</v>
      </c>
      <c r="I81" s="459"/>
      <c r="J81" s="16" t="s">
        <v>279</v>
      </c>
      <c r="K81" s="19"/>
      <c r="L81" s="19"/>
      <c r="M81" s="19"/>
      <c r="N81" s="19"/>
      <c r="O81" s="18"/>
      <c r="T81" s="268">
        <f>BJ81</f>
        <v>0</v>
      </c>
      <c r="U81" s="266">
        <v>0</v>
      </c>
      <c r="V81" s="266">
        <v>20</v>
      </c>
      <c r="W81" s="266">
        <v>40</v>
      </c>
      <c r="X81" s="266">
        <v>60</v>
      </c>
      <c r="Y81" s="266">
        <v>80</v>
      </c>
      <c r="AA81" s="2" t="s">
        <v>462</v>
      </c>
      <c r="AB81" s="277">
        <f>F81/100</f>
        <v>0</v>
      </c>
      <c r="AC81" s="82"/>
      <c r="BF81" s="2" t="s">
        <v>185</v>
      </c>
      <c r="BH81" s="78">
        <v>19</v>
      </c>
      <c r="BJ81" s="152">
        <f>HLOOKUP(BJ$9,$BL$63:$BP$89,BH81,FALSE)</f>
        <v>0</v>
      </c>
      <c r="BL81" s="2">
        <v>0</v>
      </c>
      <c r="BM81" s="2">
        <v>0</v>
      </c>
      <c r="BN81" s="2">
        <v>20</v>
      </c>
      <c r="BO81" s="2">
        <v>30</v>
      </c>
      <c r="BP81" s="2">
        <v>0</v>
      </c>
      <c r="CA81" s="427"/>
      <c r="CB81" s="428"/>
      <c r="CC81" s="488">
        <v>0</v>
      </c>
      <c r="CD81" s="486">
        <f>EG81</f>
        <v>0</v>
      </c>
      <c r="CE81" s="459" t="s">
        <v>46</v>
      </c>
      <c r="CF81" s="459"/>
      <c r="CG81" s="427"/>
      <c r="CH81" s="428"/>
      <c r="CI81" s="488">
        <v>0</v>
      </c>
      <c r="CJ81" s="486">
        <f>EM81</f>
        <v>0</v>
      </c>
      <c r="CK81" s="459" t="s">
        <v>46</v>
      </c>
      <c r="CL81" s="459"/>
      <c r="CM81" s="427"/>
      <c r="CN81" s="428"/>
      <c r="CO81" s="488">
        <v>20</v>
      </c>
      <c r="CP81" s="486">
        <f>ES81</f>
        <v>0</v>
      </c>
      <c r="CQ81" s="459" t="s">
        <v>46</v>
      </c>
      <c r="CR81" s="459"/>
      <c r="CS81" s="427"/>
      <c r="CT81" s="428"/>
      <c r="CU81" s="488">
        <v>20</v>
      </c>
      <c r="CV81" s="486">
        <f>EY81</f>
        <v>0</v>
      </c>
      <c r="CW81" s="459" t="s">
        <v>46</v>
      </c>
      <c r="CX81" s="459"/>
      <c r="CY81" s="427"/>
      <c r="CZ81" s="428"/>
      <c r="DA81" s="488"/>
      <c r="DB81" s="483"/>
      <c r="DC81" s="459"/>
      <c r="DD81" s="459"/>
    </row>
    <row r="82" spans="2:108" ht="12.75" customHeight="1" x14ac:dyDescent="0.2">
      <c r="B82" s="151"/>
      <c r="C82" s="16" t="s">
        <v>271</v>
      </c>
      <c r="D82" s="427"/>
      <c r="E82" s="428"/>
      <c r="F82" s="488">
        <v>0</v>
      </c>
      <c r="G82" s="486">
        <f>BJ82</f>
        <v>0</v>
      </c>
      <c r="H82" s="459" t="s">
        <v>46</v>
      </c>
      <c r="I82" s="459"/>
      <c r="J82" s="16" t="s">
        <v>280</v>
      </c>
      <c r="K82" s="19"/>
      <c r="L82" s="19"/>
      <c r="M82" s="19"/>
      <c r="N82" s="19"/>
      <c r="O82" s="18"/>
      <c r="T82" s="268">
        <f>BJ82</f>
        <v>0</v>
      </c>
      <c r="U82" s="266">
        <v>0</v>
      </c>
      <c r="V82" s="266">
        <v>20</v>
      </c>
      <c r="W82" s="266">
        <v>40</v>
      </c>
      <c r="X82" s="266">
        <v>60</v>
      </c>
      <c r="Y82" s="266">
        <v>80</v>
      </c>
      <c r="AA82" s="2" t="s">
        <v>463</v>
      </c>
      <c r="AB82" s="277">
        <f>F82/100</f>
        <v>0</v>
      </c>
      <c r="AC82" s="82"/>
      <c r="BF82" s="2" t="s">
        <v>186</v>
      </c>
      <c r="BH82" s="78">
        <v>20</v>
      </c>
      <c r="BJ82" s="152">
        <f>HLOOKUP(BJ$9,$BL$63:$BP$89,BH82,FALSE)</f>
        <v>0</v>
      </c>
      <c r="BL82" s="2">
        <v>0</v>
      </c>
      <c r="BM82" s="2">
        <v>0</v>
      </c>
      <c r="BN82" s="2">
        <v>40</v>
      </c>
      <c r="BO82" s="2">
        <v>30</v>
      </c>
      <c r="BP82" s="2">
        <v>0</v>
      </c>
      <c r="CA82" s="427"/>
      <c r="CB82" s="428"/>
      <c r="CC82" s="488">
        <v>0</v>
      </c>
      <c r="CD82" s="486">
        <f>EG82</f>
        <v>0</v>
      </c>
      <c r="CE82" s="459" t="s">
        <v>46</v>
      </c>
      <c r="CF82" s="459"/>
      <c r="CG82" s="427"/>
      <c r="CH82" s="428"/>
      <c r="CI82" s="488">
        <v>0</v>
      </c>
      <c r="CJ82" s="486">
        <f>EM82</f>
        <v>0</v>
      </c>
      <c r="CK82" s="459" t="s">
        <v>46</v>
      </c>
      <c r="CL82" s="459"/>
      <c r="CM82" s="427"/>
      <c r="CN82" s="428"/>
      <c r="CO82" s="488">
        <v>40</v>
      </c>
      <c r="CP82" s="486">
        <f>ES82</f>
        <v>0</v>
      </c>
      <c r="CQ82" s="459" t="s">
        <v>46</v>
      </c>
      <c r="CR82" s="459"/>
      <c r="CS82" s="427"/>
      <c r="CT82" s="428"/>
      <c r="CU82" s="488">
        <v>40</v>
      </c>
      <c r="CV82" s="486">
        <f>EY82</f>
        <v>0</v>
      </c>
      <c r="CW82" s="459" t="s">
        <v>46</v>
      </c>
      <c r="CX82" s="459"/>
      <c r="CY82" s="427"/>
      <c r="CZ82" s="428"/>
      <c r="DA82" s="488"/>
      <c r="DB82" s="483"/>
      <c r="DC82" s="459"/>
      <c r="DD82" s="459"/>
    </row>
    <row r="83" spans="2:108" ht="12.75" customHeight="1" x14ac:dyDescent="0.2">
      <c r="C83" s="15" t="s">
        <v>42</v>
      </c>
      <c r="D83" s="427"/>
      <c r="E83" s="428"/>
      <c r="F83" s="479"/>
      <c r="G83" s="484"/>
      <c r="H83" s="481"/>
      <c r="I83" s="481"/>
      <c r="J83" s="187"/>
      <c r="K83" s="30"/>
      <c r="L83" s="186"/>
      <c r="M83" s="19"/>
      <c r="N83" s="19"/>
      <c r="O83" s="18"/>
      <c r="T83" s="91"/>
      <c r="U83" s="263"/>
      <c r="V83" s="263"/>
      <c r="W83" s="263"/>
      <c r="X83" s="263"/>
      <c r="Y83" s="263"/>
      <c r="AB83" s="2">
        <v>1</v>
      </c>
      <c r="AC83" s="2">
        <v>2</v>
      </c>
      <c r="AD83" s="2">
        <v>3</v>
      </c>
      <c r="AE83" s="2">
        <v>4</v>
      </c>
      <c r="AF83" s="2">
        <v>5</v>
      </c>
      <c r="AG83" s="2">
        <v>1</v>
      </c>
      <c r="AH83" s="2">
        <v>2</v>
      </c>
      <c r="AI83" s="2">
        <v>3</v>
      </c>
      <c r="AJ83" s="2">
        <v>4</v>
      </c>
      <c r="AK83" s="2">
        <v>5</v>
      </c>
      <c r="AL83" s="2">
        <v>1</v>
      </c>
      <c r="AM83" s="2">
        <v>2</v>
      </c>
      <c r="AN83" s="2">
        <v>3</v>
      </c>
      <c r="AO83" s="2">
        <v>4</v>
      </c>
      <c r="AP83" s="2">
        <v>5</v>
      </c>
      <c r="AQ83" s="2">
        <v>1</v>
      </c>
      <c r="AR83" s="2">
        <v>2</v>
      </c>
      <c r="AS83" s="2">
        <v>3</v>
      </c>
      <c r="AT83" s="2">
        <v>4</v>
      </c>
      <c r="AU83" s="2">
        <v>5</v>
      </c>
      <c r="AV83" s="2">
        <v>1</v>
      </c>
      <c r="AW83" s="2">
        <v>2</v>
      </c>
      <c r="AX83" s="2">
        <v>3</v>
      </c>
      <c r="AY83" s="2">
        <v>4</v>
      </c>
      <c r="AZ83" s="2">
        <v>5</v>
      </c>
      <c r="BA83" s="2">
        <v>1</v>
      </c>
      <c r="BB83" s="2">
        <v>2</v>
      </c>
      <c r="BC83" s="2">
        <v>3</v>
      </c>
      <c r="BD83" s="2">
        <v>4</v>
      </c>
      <c r="BE83" s="2">
        <v>5</v>
      </c>
      <c r="BH83" s="78">
        <v>21</v>
      </c>
      <c r="BJ83" s="152"/>
      <c r="CA83" s="427"/>
      <c r="CB83" s="428"/>
      <c r="CC83" s="479"/>
      <c r="CD83" s="484"/>
      <c r="CE83" s="481"/>
      <c r="CF83" s="481"/>
      <c r="CG83" s="427"/>
      <c r="CH83" s="428"/>
      <c r="CI83" s="479"/>
      <c r="CJ83" s="484"/>
      <c r="CK83" s="481"/>
      <c r="CL83" s="481"/>
      <c r="CM83" s="427"/>
      <c r="CN83" s="428"/>
      <c r="CO83" s="479"/>
      <c r="CP83" s="484"/>
      <c r="CQ83" s="481"/>
      <c r="CR83" s="481"/>
      <c r="CS83" s="427"/>
      <c r="CT83" s="428"/>
      <c r="CU83" s="479"/>
      <c r="CV83" s="484"/>
      <c r="CW83" s="481"/>
      <c r="CX83" s="481"/>
      <c r="CY83" s="427"/>
      <c r="CZ83" s="428"/>
      <c r="DA83" s="479"/>
      <c r="DB83" s="484"/>
      <c r="DC83" s="481"/>
      <c r="DD83" s="481"/>
    </row>
    <row r="84" spans="2:108" ht="12.75" customHeight="1" x14ac:dyDescent="0.25">
      <c r="C84" s="16" t="s">
        <v>272</v>
      </c>
      <c r="D84" s="427"/>
      <c r="E84" s="428"/>
      <c r="F84" s="524" t="s">
        <v>215</v>
      </c>
      <c r="G84" s="486" t="str">
        <f t="shared" ref="G84:G89" si="77">BJ84</f>
        <v>1.HRk</v>
      </c>
      <c r="H84" s="459" t="s">
        <v>211</v>
      </c>
      <c r="I84" s="459"/>
      <c r="J84" s="16" t="str">
        <f>IF(F84=U84,"1.HRk = HR107-ketel (woningbouw individueel)",IF(F84=V84,"2.HRg = HR107-ketel groot (collectief)",IF(F84=W84,"3.WPbg = (gas) warmtepomp - bodem",IF(F84=X84,"4.WPbe = (elektr.) warmtepomp - bodem",IF(F84=Y84,"5.WPre = (elektr.) warmtepomp - retourlucht",)))))</f>
        <v>1.HRk = HR107-ketel (woningbouw individueel)</v>
      </c>
      <c r="K84" s="19"/>
      <c r="L84" s="19"/>
      <c r="M84" s="207" t="str">
        <f>IF(G84=U84,"1.HRk = HR107-ketel (woningbouw individueel)",IF(G84=V84,"2.HRg = HR107-ketel groot (collectief)",IF(G84=W84,"3.WPbg = (gas) warmtepomp - bodem",IF(G84=X84,"4.WPbe = (elektr.) warmtepomp - bodem",IF(G84=Y84,"5.WPre = (elektr.) warmtepomp - retourlucht",)))))</f>
        <v>1.HRk = HR107-ketel (woningbouw individueel)</v>
      </c>
      <c r="N84" s="19"/>
      <c r="O84" s="18"/>
      <c r="T84" s="91" t="str">
        <f t="shared" ref="T84" si="78">CONCATENATE("",BJ84)</f>
        <v>1.HRk</v>
      </c>
      <c r="U84" s="181" t="s">
        <v>215</v>
      </c>
      <c r="V84" s="181" t="s">
        <v>216</v>
      </c>
      <c r="W84" s="181" t="s">
        <v>217</v>
      </c>
      <c r="X84" s="181" t="s">
        <v>218</v>
      </c>
      <c r="Y84" s="181" t="s">
        <v>219</v>
      </c>
      <c r="AA84" s="2" t="s">
        <v>272</v>
      </c>
      <c r="AB84" s="4">
        <f>IF(F84=U84,1,IF(F84=V84,2,IF(F84=W84,3,IF(F84=X84,4,5))))</f>
        <v>1</v>
      </c>
      <c r="AC84" s="281">
        <f>Kostengegevens!C51</f>
        <v>25.78</v>
      </c>
      <c r="AH84" s="281">
        <f>Kostengegevens!H51</f>
        <v>3.335116062273753</v>
      </c>
      <c r="AM84" s="281">
        <f>Kostengegevens!M51</f>
        <v>8.7105228355005266</v>
      </c>
      <c r="AR84" s="281">
        <f>Kostengegevens!R51</f>
        <v>132.4035366442852</v>
      </c>
      <c r="AW84" s="281">
        <f>Kostengegevens!W51</f>
        <v>0.90922555580475872</v>
      </c>
      <c r="BB84" s="281">
        <f>Kostengegevens!AB51</f>
        <v>3.1031186023050199</v>
      </c>
      <c r="BF84" s="4" t="s">
        <v>203</v>
      </c>
      <c r="BH84" s="78">
        <v>22</v>
      </c>
      <c r="BJ84" s="152" t="str">
        <f t="shared" ref="BJ84:BJ89" si="79">HLOOKUP(BJ$9,$BL$63:$BP$89,BH84,FALSE)</f>
        <v>1.HRk</v>
      </c>
      <c r="BL84" s="2" t="s">
        <v>215</v>
      </c>
      <c r="BM84" s="2" t="s">
        <v>215</v>
      </c>
      <c r="BN84" s="2" t="s">
        <v>216</v>
      </c>
      <c r="BO84" s="2" t="s">
        <v>216</v>
      </c>
      <c r="BP84" s="2" t="s">
        <v>216</v>
      </c>
      <c r="CA84" s="427"/>
      <c r="CB84" s="428"/>
      <c r="CC84" s="489" t="s">
        <v>215</v>
      </c>
      <c r="CD84" s="486">
        <f t="shared" ref="CD84:CD89" si="80">EG84</f>
        <v>0</v>
      </c>
      <c r="CE84" s="459" t="s">
        <v>211</v>
      </c>
      <c r="CF84" s="459"/>
      <c r="CG84" s="427"/>
      <c r="CH84" s="428"/>
      <c r="CI84" s="489" t="s">
        <v>215</v>
      </c>
      <c r="CJ84" s="486">
        <f t="shared" ref="CJ84:CJ89" si="81">EM84</f>
        <v>0</v>
      </c>
      <c r="CK84" s="459" t="s">
        <v>211</v>
      </c>
      <c r="CL84" s="459"/>
      <c r="CM84" s="427"/>
      <c r="CN84" s="428"/>
      <c r="CO84" s="489" t="s">
        <v>216</v>
      </c>
      <c r="CP84" s="486">
        <f t="shared" ref="CP84:CP89" si="82">ES84</f>
        <v>0</v>
      </c>
      <c r="CQ84" s="459" t="s">
        <v>211</v>
      </c>
      <c r="CR84" s="459"/>
      <c r="CS84" s="427"/>
      <c r="CT84" s="428"/>
      <c r="CU84" s="523" t="s">
        <v>216</v>
      </c>
      <c r="CV84" s="486">
        <f t="shared" ref="CV84:CV89" si="83">EY84</f>
        <v>0</v>
      </c>
      <c r="CW84" s="459" t="s">
        <v>211</v>
      </c>
      <c r="CX84" s="459"/>
      <c r="CY84" s="427"/>
      <c r="CZ84" s="428"/>
      <c r="DA84" s="489"/>
      <c r="DB84" s="483"/>
      <c r="DC84" s="459"/>
      <c r="DD84" s="459"/>
    </row>
    <row r="85" spans="2:108" ht="12.75" customHeight="1" x14ac:dyDescent="0.25">
      <c r="C85" s="16" t="s">
        <v>273</v>
      </c>
      <c r="D85" s="427"/>
      <c r="E85" s="428"/>
      <c r="F85" s="524" t="s">
        <v>220</v>
      </c>
      <c r="G85" s="486" t="str">
        <f t="shared" si="77"/>
        <v>1.HTr</v>
      </c>
      <c r="H85" s="459" t="s">
        <v>211</v>
      </c>
      <c r="I85" s="459"/>
      <c r="J85" s="16" t="str">
        <f>IF(F85=U85,"1.HTr = hoge temperatuur-verwarming (radiatoren)",IF(F85=V85,"2.LTv = lage temperatuur-verwarming (vloer-)",IF(F85=W85,"3.LV = luchtverwarming",IF(F85=X85,"niet gedefinieerd",IF(F85=Y85,"niet gedefinieerd",)))))</f>
        <v>1.HTr = hoge temperatuur-verwarming (radiatoren)</v>
      </c>
      <c r="K85" s="19"/>
      <c r="L85" s="19"/>
      <c r="M85" s="207" t="str">
        <f>IF(G85=U85,"1.HTr = hoge temperatuur-verwarming (radiatoren)",IF(G85=V85,"2.LTv = lage temperatuur-verwarming (vloer-)",IF(G85=W85,"3.LV = luchtverwarming",IF(G85=X85,"niet gedefinieerd",IF(G85=Y85,"niet gedefinieerd",)))))</f>
        <v>1.HTr = hoge temperatuur-verwarming (radiatoren)</v>
      </c>
      <c r="N85" s="19"/>
      <c r="O85" s="18"/>
      <c r="T85" s="91" t="str">
        <f t="shared" ref="T85:T86" si="84">CONCATENATE("",BJ85)</f>
        <v>1.HTr</v>
      </c>
      <c r="U85" s="181" t="s">
        <v>220</v>
      </c>
      <c r="V85" s="181" t="s">
        <v>221</v>
      </c>
      <c r="W85" s="181" t="s">
        <v>222</v>
      </c>
      <c r="X85" s="181"/>
      <c r="Y85" s="181"/>
      <c r="AA85" s="2" t="s">
        <v>273</v>
      </c>
      <c r="AB85" s="4">
        <f t="shared" ref="AB85:AB89" si="85">IF(F85=U85,1,IF(F85=V85,2,IF(F85=W85,3,IF(F85=X85,4,5))))</f>
        <v>1</v>
      </c>
      <c r="AC85" s="281">
        <f>Kostengegevens!C52</f>
        <v>24.5</v>
      </c>
      <c r="AH85" s="281">
        <f>Kostengegevens!H52</f>
        <v>3.1695245743098117</v>
      </c>
      <c r="AM85" s="281">
        <f>Kostengegevens!M52</f>
        <v>8.2780376054989482</v>
      </c>
      <c r="AR85" s="281">
        <f>Kostengegevens!R52</f>
        <v>125.82958292416551</v>
      </c>
      <c r="AW85" s="281">
        <f>Kostengegevens!W52</f>
        <v>0.86408169578031757</v>
      </c>
      <c r="BB85" s="281">
        <f>Kostengegevens!AB52</f>
        <v>2.9490459952084169</v>
      </c>
      <c r="BF85" s="4" t="s">
        <v>204</v>
      </c>
      <c r="BH85" s="78">
        <v>23</v>
      </c>
      <c r="BJ85" s="152" t="str">
        <f t="shared" si="79"/>
        <v>1.HTr</v>
      </c>
      <c r="BL85" s="2" t="s">
        <v>220</v>
      </c>
      <c r="BM85" s="2" t="s">
        <v>220</v>
      </c>
      <c r="BN85" s="2" t="s">
        <v>220</v>
      </c>
      <c r="BO85" s="2" t="s">
        <v>220</v>
      </c>
      <c r="BP85" s="2" t="s">
        <v>220</v>
      </c>
      <c r="CA85" s="427"/>
      <c r="CB85" s="428"/>
      <c r="CC85" s="489" t="s">
        <v>220</v>
      </c>
      <c r="CD85" s="486">
        <f t="shared" si="80"/>
        <v>0</v>
      </c>
      <c r="CE85" s="459" t="s">
        <v>211</v>
      </c>
      <c r="CF85" s="459"/>
      <c r="CG85" s="427"/>
      <c r="CH85" s="428"/>
      <c r="CI85" s="489" t="s">
        <v>220</v>
      </c>
      <c r="CJ85" s="486">
        <f t="shared" si="81"/>
        <v>0</v>
      </c>
      <c r="CK85" s="459" t="s">
        <v>211</v>
      </c>
      <c r="CL85" s="459"/>
      <c r="CM85" s="427"/>
      <c r="CN85" s="428"/>
      <c r="CO85" s="489" t="s">
        <v>220</v>
      </c>
      <c r="CP85" s="486">
        <f t="shared" si="82"/>
        <v>0</v>
      </c>
      <c r="CQ85" s="459" t="s">
        <v>211</v>
      </c>
      <c r="CR85" s="459"/>
      <c r="CS85" s="427"/>
      <c r="CT85" s="428"/>
      <c r="CU85" s="523" t="s">
        <v>220</v>
      </c>
      <c r="CV85" s="486">
        <f t="shared" si="83"/>
        <v>0</v>
      </c>
      <c r="CW85" s="459" t="s">
        <v>211</v>
      </c>
      <c r="CX85" s="459"/>
      <c r="CY85" s="427"/>
      <c r="CZ85" s="428"/>
      <c r="DA85" s="489"/>
      <c r="DB85" s="483"/>
      <c r="DC85" s="459"/>
      <c r="DD85" s="459"/>
    </row>
    <row r="86" spans="2:108" ht="12.75" customHeight="1" x14ac:dyDescent="0.25">
      <c r="C86" s="16" t="s">
        <v>274</v>
      </c>
      <c r="D86" s="427"/>
      <c r="E86" s="428"/>
      <c r="F86" s="524" t="s">
        <v>29</v>
      </c>
      <c r="G86" s="486" t="str">
        <f t="shared" si="77"/>
        <v>n.v.t.</v>
      </c>
      <c r="H86" s="459" t="s">
        <v>211</v>
      </c>
      <c r="I86" s="459"/>
      <c r="J86" s="16" t="str">
        <f>IF(F86=U86,"1.CKb = compressiekoeling 36W/m2 BVO",IF(F86=V86,"niet gedefinieerd",IF(F86=W86,"3.CKbw = compressiekoeling 36W/m2 BVO met WKO",IF(F86=X86,"niet gedefinieerd",IF(F86=Y86,"n.v.t.",)))))</f>
        <v>n.v.t.</v>
      </c>
      <c r="K86" s="19"/>
      <c r="L86" s="19"/>
      <c r="M86" s="207" t="str">
        <f>IF(G86=U86,"1.CKb = compressiekoeling 36W/m2 BVO",IF(G86=V86,"2.CKu = compressiekoeling 80W/m2 BVO",IF(G86=W86,"3.CKbw = compressiekoeling 36W/m2 BVO met WKO",IF(G86=X86,"4.CKuw = compressiekoeling 80W/m2 BVO met WKO",IF(G86=Y86,"n.v.t.",)))))</f>
        <v>n.v.t.</v>
      </c>
      <c r="N86" s="19"/>
      <c r="O86" s="18"/>
      <c r="T86" s="91" t="str">
        <f t="shared" si="84"/>
        <v>n.v.t.</v>
      </c>
      <c r="U86" s="181" t="s">
        <v>535</v>
      </c>
      <c r="V86" s="181" t="s">
        <v>437</v>
      </c>
      <c r="W86" s="181" t="s">
        <v>536</v>
      </c>
      <c r="X86" s="181" t="s">
        <v>439</v>
      </c>
      <c r="Y86" s="181" t="s">
        <v>29</v>
      </c>
      <c r="AA86" s="2" t="s">
        <v>274</v>
      </c>
      <c r="AB86" s="4">
        <f t="shared" si="85"/>
        <v>5</v>
      </c>
      <c r="AC86" s="281">
        <f>Kostengegevens!C53</f>
        <v>0</v>
      </c>
      <c r="AH86" s="281">
        <f>Kostengegevens!H53</f>
        <v>0</v>
      </c>
      <c r="AM86" s="281">
        <f>Kostengegevens!M53</f>
        <v>0</v>
      </c>
      <c r="AR86" s="281">
        <f>Kostengegevens!R53</f>
        <v>0</v>
      </c>
      <c r="AW86" s="281">
        <f>Kostengegevens!W53</f>
        <v>0</v>
      </c>
      <c r="BB86" s="281">
        <f>Kostengegevens!AB53</f>
        <v>0</v>
      </c>
      <c r="BF86" s="4" t="s">
        <v>190</v>
      </c>
      <c r="BH86" s="78">
        <v>24</v>
      </c>
      <c r="BJ86" s="152" t="str">
        <f t="shared" si="79"/>
        <v>n.v.t.</v>
      </c>
      <c r="BL86" s="2" t="s">
        <v>29</v>
      </c>
      <c r="BM86" s="2" t="s">
        <v>29</v>
      </c>
      <c r="BN86" s="2" t="s">
        <v>29</v>
      </c>
      <c r="BO86" s="2" t="s">
        <v>29</v>
      </c>
      <c r="BP86" s="2" t="s">
        <v>29</v>
      </c>
      <c r="CA86" s="427"/>
      <c r="CB86" s="428"/>
      <c r="CC86" s="489" t="s">
        <v>29</v>
      </c>
      <c r="CD86" s="486">
        <f t="shared" si="80"/>
        <v>0</v>
      </c>
      <c r="CE86" s="459" t="s">
        <v>211</v>
      </c>
      <c r="CF86" s="459"/>
      <c r="CG86" s="427"/>
      <c r="CH86" s="428"/>
      <c r="CI86" s="489" t="s">
        <v>29</v>
      </c>
      <c r="CJ86" s="486">
        <f t="shared" si="81"/>
        <v>0</v>
      </c>
      <c r="CK86" s="459" t="s">
        <v>211</v>
      </c>
      <c r="CL86" s="459"/>
      <c r="CM86" s="427"/>
      <c r="CN86" s="428"/>
      <c r="CO86" s="489" t="s">
        <v>29</v>
      </c>
      <c r="CP86" s="486">
        <f t="shared" si="82"/>
        <v>0</v>
      </c>
      <c r="CQ86" s="459" t="s">
        <v>211</v>
      </c>
      <c r="CR86" s="459"/>
      <c r="CS86" s="427"/>
      <c r="CT86" s="428"/>
      <c r="CU86" s="523" t="s">
        <v>29</v>
      </c>
      <c r="CV86" s="486">
        <f t="shared" si="83"/>
        <v>0</v>
      </c>
      <c r="CW86" s="459" t="s">
        <v>211</v>
      </c>
      <c r="CX86" s="459"/>
      <c r="CY86" s="427"/>
      <c r="CZ86" s="428"/>
      <c r="DA86" s="489"/>
      <c r="DB86" s="483"/>
      <c r="DC86" s="459"/>
      <c r="DD86" s="459"/>
    </row>
    <row r="87" spans="2:108" ht="12.75" customHeight="1" x14ac:dyDescent="0.25">
      <c r="C87" s="16" t="s">
        <v>275</v>
      </c>
      <c r="D87" s="427"/>
      <c r="E87" s="428"/>
      <c r="F87" s="524" t="s">
        <v>223</v>
      </c>
      <c r="G87" s="486" t="str">
        <f t="shared" si="77"/>
        <v>1.Nve</v>
      </c>
      <c r="H87" s="459" t="s">
        <v>211</v>
      </c>
      <c r="I87" s="459"/>
      <c r="J87" s="16" t="str">
        <f>IF(F87=U87,"1.NVe = natuurlijke ventilatie (elektr.gestuurd)",IF(F87=V87,"2.MAs = mechanische afzuiging (sanitair)",IF(F87=W87,"3.MVw = mechanische ventilatie met WTW",IF(F87=X87,"4.LBg = luchtbehandeling gebouwen (standaard)",IF(F87=Y87,"5.LBw = luchtbehandeling gebouwen met WTW",)))))</f>
        <v>1.NVe = natuurlijke ventilatie (elektr.gestuurd)</v>
      </c>
      <c r="K87" s="19"/>
      <c r="L87" s="19"/>
      <c r="M87" s="207" t="str">
        <f>IF(G87=U87,"1.NVe = natuurlijke ventilatie (elektr.gestuurd)",IF(G87=V87,"2.MAs = mechanische afzuiging (sanitair)",IF(G87=W87,"3.MVw = mechanische ventilatie met WTW",IF(G87=X87,"4.LBg = luchtbehandeling gebouwen (standaard)",IF(G87=Y87,"5.LBw = luchtbehandeling gebouwen met WTW",)))))</f>
        <v>1.NVe = natuurlijke ventilatie (elektr.gestuurd)</v>
      </c>
      <c r="N87" s="19"/>
      <c r="O87" s="18"/>
      <c r="T87" s="91" t="str">
        <f t="shared" ref="T87:T89" si="86">CONCATENATE("",BJ87)</f>
        <v>1.Nve</v>
      </c>
      <c r="U87" s="181" t="s">
        <v>223</v>
      </c>
      <c r="V87" s="181" t="s">
        <v>224</v>
      </c>
      <c r="W87" s="181" t="s">
        <v>225</v>
      </c>
      <c r="X87" s="181" t="s">
        <v>226</v>
      </c>
      <c r="Y87" s="181" t="s">
        <v>227</v>
      </c>
      <c r="AA87" s="2" t="s">
        <v>275</v>
      </c>
      <c r="AB87" s="4">
        <f t="shared" si="85"/>
        <v>1</v>
      </c>
      <c r="AC87" s="281">
        <f>Kostengegevens!C54</f>
        <v>9.6</v>
      </c>
      <c r="AH87" s="281">
        <f>Kostengegevens!H54</f>
        <v>2.3110854313637992</v>
      </c>
      <c r="AM87" s="281">
        <f>Kostengegevens!M54</f>
        <v>6.1736183489789171</v>
      </c>
      <c r="AR87" s="281">
        <f>Kostengegevens!R54</f>
        <v>95.44277856929196</v>
      </c>
      <c r="AW87" s="281">
        <f>Kostengegevens!W54</f>
        <v>0.58442221664400196</v>
      </c>
      <c r="BB87" s="281">
        <f>Kostengegevens!AB54</f>
        <v>3.3215180349696563</v>
      </c>
      <c r="BF87" s="4" t="s">
        <v>191</v>
      </c>
      <c r="BH87" s="78">
        <v>25</v>
      </c>
      <c r="BJ87" s="152" t="str">
        <f t="shared" si="79"/>
        <v>1.Nve</v>
      </c>
      <c r="BL87" s="2" t="s">
        <v>223</v>
      </c>
      <c r="BM87" s="2" t="s">
        <v>223</v>
      </c>
      <c r="BN87" s="2" t="s">
        <v>226</v>
      </c>
      <c r="BO87" s="2" t="s">
        <v>226</v>
      </c>
      <c r="BP87" s="2" t="s">
        <v>223</v>
      </c>
      <c r="CA87" s="427"/>
      <c r="CB87" s="428"/>
      <c r="CC87" s="489" t="s">
        <v>223</v>
      </c>
      <c r="CD87" s="486">
        <f t="shared" si="80"/>
        <v>0</v>
      </c>
      <c r="CE87" s="459" t="s">
        <v>211</v>
      </c>
      <c r="CF87" s="459"/>
      <c r="CG87" s="427"/>
      <c r="CH87" s="428"/>
      <c r="CI87" s="489" t="s">
        <v>223</v>
      </c>
      <c r="CJ87" s="486">
        <f t="shared" si="81"/>
        <v>0</v>
      </c>
      <c r="CK87" s="459" t="s">
        <v>211</v>
      </c>
      <c r="CL87" s="459"/>
      <c r="CM87" s="427"/>
      <c r="CN87" s="428"/>
      <c r="CO87" s="489" t="s">
        <v>226</v>
      </c>
      <c r="CP87" s="486">
        <f t="shared" si="82"/>
        <v>0</v>
      </c>
      <c r="CQ87" s="459" t="s">
        <v>211</v>
      </c>
      <c r="CR87" s="459"/>
      <c r="CS87" s="427"/>
      <c r="CT87" s="428"/>
      <c r="CU87" s="523" t="s">
        <v>226</v>
      </c>
      <c r="CV87" s="486">
        <f t="shared" si="83"/>
        <v>0</v>
      </c>
      <c r="CW87" s="459" t="s">
        <v>211</v>
      </c>
      <c r="CX87" s="459"/>
      <c r="CY87" s="427"/>
      <c r="CZ87" s="428"/>
      <c r="DA87" s="489"/>
      <c r="DB87" s="483"/>
      <c r="DC87" s="459"/>
      <c r="DD87" s="459"/>
    </row>
    <row r="88" spans="2:108" ht="12.75" customHeight="1" x14ac:dyDescent="0.25">
      <c r="C88" s="16" t="s">
        <v>276</v>
      </c>
      <c r="D88" s="427"/>
      <c r="E88" s="428"/>
      <c r="F88" s="524" t="s">
        <v>228</v>
      </c>
      <c r="G88" s="486" t="str">
        <f t="shared" si="77"/>
        <v>1.Ck</v>
      </c>
      <c r="H88" s="459" t="s">
        <v>211</v>
      </c>
      <c r="I88" s="459"/>
      <c r="J88" s="16" t="str">
        <f>IF(F88=U88,"1.Ck = combi met HR-ketel (1.HRk)",IF(F88=V88,"2.Cg = gasboiler (met circulatieleiding)",IF(F88=W88,"3.Z1 = zonneboiler + combi met HR-ketel (1.HRk)",IF(F88=X88,"4.Z2 = zonneboiler + gasboiler (met circulatieleiding)",IF(F88=Y88,"5.Le = lokaal elektrisch verwarmd tapwater",)))))</f>
        <v>1.Ck = combi met HR-ketel (1.HRk)</v>
      </c>
      <c r="K88" s="19"/>
      <c r="L88" s="19"/>
      <c r="M88" s="207" t="str">
        <f>IF(G88=U88,"1.Ck = combi met HR-ketel (1.HRk)",IF(G88=V88,"2.Cg = gasboiler (met circulatieleiding)",IF(G88=W88,"3.Z1 = zonneboiler + combi met HR-ketel (1.HRk)",IF(G88=X88,"4.Z2 = zonneboiler + gasboiler (met circulatieleiding)",IF(G88=Y88,"5.Le = lokaal elektrisch verwarmd tapwater",)))))</f>
        <v>1.Ck = combi met HR-ketel (1.HRk)</v>
      </c>
      <c r="N88" s="19"/>
      <c r="O88" s="18"/>
      <c r="T88" s="91" t="str">
        <f t="shared" si="86"/>
        <v>1.Ck</v>
      </c>
      <c r="U88" s="181" t="s">
        <v>228</v>
      </c>
      <c r="V88" s="181" t="s">
        <v>229</v>
      </c>
      <c r="W88" s="181" t="s">
        <v>230</v>
      </c>
      <c r="X88" s="181" t="s">
        <v>231</v>
      </c>
      <c r="Y88" s="181" t="s">
        <v>232</v>
      </c>
      <c r="AA88" s="2" t="s">
        <v>276</v>
      </c>
      <c r="AB88" s="4">
        <f t="shared" si="85"/>
        <v>1</v>
      </c>
      <c r="AC88" s="281">
        <f>Kostengegevens!C55</f>
        <v>0</v>
      </c>
      <c r="AH88" s="281">
        <f>Kostengegevens!H55</f>
        <v>0</v>
      </c>
      <c r="AM88" s="281">
        <f>Kostengegevens!M55</f>
        <v>0</v>
      </c>
      <c r="AR88" s="281">
        <f>Kostengegevens!R55</f>
        <v>0</v>
      </c>
      <c r="AW88" s="281">
        <f>Kostengegevens!W55</f>
        <v>0</v>
      </c>
      <c r="BB88" s="281">
        <f>Kostengegevens!AB55</f>
        <v>0</v>
      </c>
      <c r="BF88" s="4" t="s">
        <v>202</v>
      </c>
      <c r="BH88" s="78">
        <v>26</v>
      </c>
      <c r="BJ88" s="152" t="str">
        <f t="shared" si="79"/>
        <v>1.Ck</v>
      </c>
      <c r="BL88" s="2" t="s">
        <v>228</v>
      </c>
      <c r="BM88" s="2" t="s">
        <v>228</v>
      </c>
      <c r="BN88" s="2" t="s">
        <v>232</v>
      </c>
      <c r="BO88" s="2" t="s">
        <v>229</v>
      </c>
      <c r="BP88" s="2" t="s">
        <v>229</v>
      </c>
      <c r="CA88" s="427"/>
      <c r="CB88" s="428"/>
      <c r="CC88" s="489" t="s">
        <v>228</v>
      </c>
      <c r="CD88" s="486">
        <f t="shared" si="80"/>
        <v>0</v>
      </c>
      <c r="CE88" s="459" t="s">
        <v>211</v>
      </c>
      <c r="CF88" s="459"/>
      <c r="CG88" s="427"/>
      <c r="CH88" s="428"/>
      <c r="CI88" s="489" t="s">
        <v>228</v>
      </c>
      <c r="CJ88" s="486">
        <f t="shared" si="81"/>
        <v>0</v>
      </c>
      <c r="CK88" s="459" t="s">
        <v>211</v>
      </c>
      <c r="CL88" s="459"/>
      <c r="CM88" s="427"/>
      <c r="CN88" s="428"/>
      <c r="CO88" s="489" t="s">
        <v>232</v>
      </c>
      <c r="CP88" s="486">
        <f t="shared" si="82"/>
        <v>0</v>
      </c>
      <c r="CQ88" s="459" t="s">
        <v>211</v>
      </c>
      <c r="CR88" s="459"/>
      <c r="CS88" s="427"/>
      <c r="CT88" s="428"/>
      <c r="CU88" s="523" t="s">
        <v>229</v>
      </c>
      <c r="CV88" s="486">
        <f t="shared" si="83"/>
        <v>0</v>
      </c>
      <c r="CW88" s="459" t="s">
        <v>211</v>
      </c>
      <c r="CX88" s="459"/>
      <c r="CY88" s="427"/>
      <c r="CZ88" s="428"/>
      <c r="DA88" s="489"/>
      <c r="DB88" s="483"/>
      <c r="DC88" s="459"/>
      <c r="DD88" s="459"/>
    </row>
    <row r="89" spans="2:108" ht="12.75" customHeight="1" x14ac:dyDescent="0.25">
      <c r="C89" s="16" t="s">
        <v>277</v>
      </c>
      <c r="D89" s="427"/>
      <c r="E89" s="428"/>
      <c r="F89" s="524" t="s">
        <v>29</v>
      </c>
      <c r="G89" s="486" t="str">
        <f t="shared" si="77"/>
        <v>n.v.t.</v>
      </c>
      <c r="H89" s="459" t="s">
        <v>211</v>
      </c>
      <c r="I89" s="459"/>
      <c r="J89" s="16" t="str">
        <f>IF(F89=U89,"1.Dw = douche-WTW",IF(F89=V89,"n.v.t.",IF(F89=W89,"niet gedefinieerd",IF(F89=X89,"niet gedefinieerd",IF(F89=Y89,"niet gedefinieerd",)))))</f>
        <v>n.v.t.</v>
      </c>
      <c r="K89" s="19"/>
      <c r="L89" s="19"/>
      <c r="M89" s="207" t="str">
        <f>IF(G89=U89,"1.Dw = douche-WTW",IF(G89=V89,"n.v.t.",IF(G89=W89,"niet gedefinieerd",IF(G89=X89,"niet gedefinieerd",IF(G89=Y89,"niet gedefinieerd",)))))</f>
        <v>n.v.t.</v>
      </c>
      <c r="N89" s="19"/>
      <c r="O89" s="18"/>
      <c r="T89" s="91" t="str">
        <f t="shared" si="86"/>
        <v>n.v.t.</v>
      </c>
      <c r="U89" s="181" t="s">
        <v>233</v>
      </c>
      <c r="V89" s="181" t="s">
        <v>29</v>
      </c>
      <c r="W89" s="181" t="s">
        <v>29</v>
      </c>
      <c r="X89" s="181"/>
      <c r="Y89" s="181"/>
      <c r="AA89" s="2" t="s">
        <v>277</v>
      </c>
      <c r="AB89" s="4">
        <f t="shared" si="85"/>
        <v>2</v>
      </c>
      <c r="AC89" s="281">
        <f>Kostengegevens!C56</f>
        <v>0</v>
      </c>
      <c r="AH89" s="281">
        <f>Kostengegevens!H56</f>
        <v>0</v>
      </c>
      <c r="AM89" s="281">
        <f>Kostengegevens!M56</f>
        <v>0</v>
      </c>
      <c r="AR89" s="281">
        <f>Kostengegevens!R56</f>
        <v>0</v>
      </c>
      <c r="AW89" s="281">
        <f>Kostengegevens!W56</f>
        <v>0</v>
      </c>
      <c r="BB89" s="281">
        <f>Kostengegevens!AB56</f>
        <v>0</v>
      </c>
      <c r="BF89" s="4" t="s">
        <v>192</v>
      </c>
      <c r="BH89" s="78">
        <v>27</v>
      </c>
      <c r="BJ89" s="152" t="str">
        <f t="shared" si="79"/>
        <v>n.v.t.</v>
      </c>
      <c r="BL89" s="2" t="s">
        <v>29</v>
      </c>
      <c r="BM89" s="2" t="s">
        <v>29</v>
      </c>
      <c r="BN89" s="2" t="s">
        <v>29</v>
      </c>
      <c r="BO89" s="2" t="s">
        <v>29</v>
      </c>
      <c r="BP89" s="2" t="s">
        <v>29</v>
      </c>
      <c r="CA89" s="427"/>
      <c r="CB89" s="428"/>
      <c r="CC89" s="489" t="s">
        <v>29</v>
      </c>
      <c r="CD89" s="486">
        <f t="shared" si="80"/>
        <v>0</v>
      </c>
      <c r="CE89" s="459" t="s">
        <v>211</v>
      </c>
      <c r="CF89" s="459"/>
      <c r="CG89" s="427"/>
      <c r="CH89" s="428"/>
      <c r="CI89" s="489" t="s">
        <v>29</v>
      </c>
      <c r="CJ89" s="486">
        <f t="shared" si="81"/>
        <v>0</v>
      </c>
      <c r="CK89" s="459" t="s">
        <v>211</v>
      </c>
      <c r="CL89" s="459"/>
      <c r="CM89" s="427"/>
      <c r="CN89" s="428"/>
      <c r="CO89" s="489" t="s">
        <v>29</v>
      </c>
      <c r="CP89" s="486">
        <f t="shared" si="82"/>
        <v>0</v>
      </c>
      <c r="CQ89" s="459" t="s">
        <v>211</v>
      </c>
      <c r="CR89" s="459"/>
      <c r="CS89" s="427"/>
      <c r="CT89" s="428"/>
      <c r="CU89" s="523" t="s">
        <v>29</v>
      </c>
      <c r="CV89" s="486">
        <f t="shared" si="83"/>
        <v>0</v>
      </c>
      <c r="CW89" s="459" t="s">
        <v>211</v>
      </c>
      <c r="CX89" s="459"/>
      <c r="CY89" s="427"/>
      <c r="CZ89" s="428"/>
      <c r="DA89" s="489"/>
      <c r="DB89" s="483"/>
      <c r="DC89" s="459"/>
      <c r="DD89" s="459"/>
    </row>
    <row r="90" spans="2:108" ht="3.95" customHeight="1" x14ac:dyDescent="0.25">
      <c r="C90" s="17"/>
      <c r="D90" s="490"/>
      <c r="E90" s="491"/>
      <c r="F90" s="492"/>
      <c r="G90" s="493"/>
      <c r="H90" s="493"/>
      <c r="I90" s="493"/>
      <c r="J90" s="110"/>
      <c r="K90" s="25"/>
      <c r="L90" s="25"/>
      <c r="M90" s="25"/>
      <c r="N90" s="25"/>
      <c r="O90" s="23"/>
      <c r="U90"/>
      <c r="V90"/>
      <c r="W90"/>
      <c r="X90"/>
      <c r="Y90"/>
      <c r="BF90" s="4"/>
      <c r="BH90" s="79"/>
      <c r="BJ90" s="152"/>
      <c r="CA90" s="490"/>
      <c r="CB90" s="491"/>
      <c r="CC90" s="492"/>
      <c r="CD90" s="493"/>
      <c r="CE90" s="493"/>
      <c r="CF90" s="493"/>
      <c r="CG90" s="490"/>
      <c r="CH90" s="491"/>
      <c r="CI90" s="492"/>
      <c r="CJ90" s="493"/>
      <c r="CK90" s="493"/>
      <c r="CL90" s="493"/>
      <c r="CM90" s="490"/>
      <c r="CN90" s="491"/>
      <c r="CO90" s="492"/>
      <c r="CP90" s="493"/>
      <c r="CQ90" s="493"/>
      <c r="CR90" s="493"/>
      <c r="CS90" s="490"/>
      <c r="CT90" s="491"/>
      <c r="CU90" s="492"/>
      <c r="CV90" s="493"/>
      <c r="CW90" s="493"/>
      <c r="CX90" s="493"/>
      <c r="CY90" s="490"/>
      <c r="CZ90" s="491"/>
      <c r="DA90" s="492"/>
      <c r="DB90" s="493"/>
      <c r="DC90" s="493"/>
      <c r="DD90" s="493"/>
    </row>
    <row r="91" spans="2:108" ht="6" customHeight="1" x14ac:dyDescent="0.2">
      <c r="C91" s="203"/>
      <c r="D91" s="437"/>
      <c r="E91" s="464"/>
      <c r="F91" s="464"/>
      <c r="G91" s="465"/>
      <c r="H91" s="440"/>
      <c r="I91" s="437"/>
      <c r="BH91" s="79"/>
      <c r="BJ91" s="152"/>
      <c r="CA91" s="437"/>
      <c r="CB91" s="464"/>
      <c r="CC91" s="464"/>
      <c r="CD91" s="465"/>
      <c r="CE91" s="440"/>
      <c r="CF91" s="437"/>
      <c r="CG91" s="437"/>
      <c r="CH91" s="464"/>
      <c r="CI91" s="464"/>
      <c r="CJ91" s="465"/>
      <c r="CK91" s="440"/>
      <c r="CL91" s="437"/>
      <c r="CM91" s="437"/>
      <c r="CN91" s="464"/>
      <c r="CO91" s="464"/>
      <c r="CP91" s="465"/>
      <c r="CQ91" s="440"/>
      <c r="CR91" s="437"/>
      <c r="CS91" s="437"/>
      <c r="CT91" s="464"/>
      <c r="CU91" s="464"/>
      <c r="CV91" s="465"/>
      <c r="CW91" s="440"/>
      <c r="CX91" s="437"/>
      <c r="CY91" s="437"/>
      <c r="CZ91" s="464"/>
      <c r="DA91" s="464"/>
      <c r="DB91" s="465"/>
      <c r="DC91" s="440"/>
      <c r="DD91" s="437"/>
    </row>
    <row r="92" spans="2:108" x14ac:dyDescent="0.2">
      <c r="C92" s="164" t="s">
        <v>396</v>
      </c>
      <c r="D92" s="441"/>
      <c r="E92" s="442"/>
      <c r="F92" s="443" t="s">
        <v>180</v>
      </c>
      <c r="G92" s="444"/>
      <c r="H92" s="445"/>
      <c r="I92" s="478"/>
      <c r="J92" s="382" t="s">
        <v>401</v>
      </c>
      <c r="K92" s="383" t="s">
        <v>37</v>
      </c>
      <c r="L92" s="384" t="s">
        <v>27</v>
      </c>
      <c r="M92" s="385" t="s">
        <v>28</v>
      </c>
      <c r="N92" s="383" t="s">
        <v>35</v>
      </c>
      <c r="O92" s="384" t="s">
        <v>36</v>
      </c>
      <c r="CA92" s="441"/>
      <c r="CB92" s="442"/>
      <c r="CC92" s="443" t="s">
        <v>180</v>
      </c>
      <c r="CD92" s="444"/>
      <c r="CE92" s="445"/>
      <c r="CF92" s="478"/>
      <c r="CG92" s="441"/>
      <c r="CH92" s="442"/>
      <c r="CI92" s="443" t="s">
        <v>180</v>
      </c>
      <c r="CJ92" s="444"/>
      <c r="CK92" s="445"/>
      <c r="CL92" s="478"/>
      <c r="CM92" s="441"/>
      <c r="CN92" s="442"/>
      <c r="CO92" s="443" t="s">
        <v>180</v>
      </c>
      <c r="CP92" s="444"/>
      <c r="CQ92" s="445"/>
      <c r="CR92" s="478"/>
      <c r="CS92" s="441"/>
      <c r="CT92" s="442"/>
      <c r="CU92" s="443"/>
      <c r="CV92" s="444"/>
      <c r="CW92" s="445"/>
      <c r="CX92" s="478"/>
      <c r="CY92" s="441"/>
      <c r="CZ92" s="442"/>
      <c r="DA92" s="443"/>
      <c r="DB92" s="444"/>
      <c r="DC92" s="445"/>
      <c r="DD92" s="478"/>
    </row>
    <row r="93" spans="2:108" x14ac:dyDescent="0.2">
      <c r="C93" s="89" t="s">
        <v>397</v>
      </c>
      <c r="D93" s="446"/>
      <c r="E93" s="447"/>
      <c r="F93" s="448" t="s">
        <v>148</v>
      </c>
      <c r="G93" s="449" t="s">
        <v>149</v>
      </c>
      <c r="H93" s="450"/>
      <c r="I93" s="446"/>
      <c r="J93" s="386" t="str">
        <f>J23</f>
        <v>€ per 1-1-2012</v>
      </c>
      <c r="K93" s="387" t="str">
        <f>J93</f>
        <v>€ per 1-1-2012</v>
      </c>
      <c r="L93" s="388" t="s">
        <v>32</v>
      </c>
      <c r="M93" s="389" t="s">
        <v>33</v>
      </c>
      <c r="N93" s="387" t="s">
        <v>34</v>
      </c>
      <c r="O93" s="388" t="str">
        <f>J93</f>
        <v>€ per 1-1-2012</v>
      </c>
      <c r="CA93" s="446"/>
      <c r="CB93" s="447"/>
      <c r="CC93" s="448" t="s">
        <v>148</v>
      </c>
      <c r="CD93" s="449" t="s">
        <v>149</v>
      </c>
      <c r="CE93" s="450"/>
      <c r="CF93" s="446"/>
      <c r="CG93" s="446"/>
      <c r="CH93" s="447"/>
      <c r="CI93" s="448" t="s">
        <v>148</v>
      </c>
      <c r="CJ93" s="449" t="s">
        <v>149</v>
      </c>
      <c r="CK93" s="450"/>
      <c r="CL93" s="446"/>
      <c r="CM93" s="446"/>
      <c r="CN93" s="447"/>
      <c r="CO93" s="448" t="s">
        <v>148</v>
      </c>
      <c r="CP93" s="449" t="s">
        <v>149</v>
      </c>
      <c r="CQ93" s="450"/>
      <c r="CR93" s="446"/>
      <c r="CS93" s="446"/>
      <c r="CT93" s="447"/>
      <c r="CU93" s="448"/>
      <c r="CV93" s="449"/>
      <c r="CW93" s="450"/>
      <c r="CX93" s="446"/>
      <c r="CY93" s="446"/>
      <c r="CZ93" s="447"/>
      <c r="DA93" s="448"/>
      <c r="DB93" s="449"/>
      <c r="DC93" s="450"/>
      <c r="DD93" s="446"/>
    </row>
    <row r="94" spans="2:108" x14ac:dyDescent="0.2">
      <c r="C94" s="188" t="s">
        <v>398</v>
      </c>
      <c r="D94" s="466"/>
      <c r="E94" s="452"/>
      <c r="F94" s="453">
        <v>0</v>
      </c>
      <c r="G94" s="454">
        <v>0</v>
      </c>
      <c r="H94" s="494" t="s">
        <v>50</v>
      </c>
      <c r="I94" s="456"/>
      <c r="J94" s="20">
        <v>0</v>
      </c>
      <c r="K94" s="8">
        <v>0</v>
      </c>
      <c r="L94" s="26">
        <v>0</v>
      </c>
      <c r="M94" s="11">
        <v>0</v>
      </c>
      <c r="N94" s="8">
        <v>0</v>
      </c>
      <c r="O94" s="26">
        <v>0</v>
      </c>
      <c r="CA94" s="466"/>
      <c r="CB94" s="452"/>
      <c r="CC94" s="453">
        <v>0</v>
      </c>
      <c r="CD94" s="454">
        <v>0</v>
      </c>
      <c r="CE94" s="494" t="s">
        <v>50</v>
      </c>
      <c r="CF94" s="456"/>
      <c r="CG94" s="466"/>
      <c r="CH94" s="452"/>
      <c r="CI94" s="453">
        <v>0</v>
      </c>
      <c r="CJ94" s="454">
        <v>0</v>
      </c>
      <c r="CK94" s="494" t="s">
        <v>50</v>
      </c>
      <c r="CL94" s="456"/>
      <c r="CM94" s="466"/>
      <c r="CN94" s="452"/>
      <c r="CO94" s="453">
        <v>0</v>
      </c>
      <c r="CP94" s="454">
        <v>0</v>
      </c>
      <c r="CQ94" s="494" t="s">
        <v>50</v>
      </c>
      <c r="CR94" s="456"/>
      <c r="CS94" s="466"/>
      <c r="CT94" s="452"/>
      <c r="CU94" s="453"/>
      <c r="CV94" s="454"/>
      <c r="CW94" s="494"/>
      <c r="CX94" s="456"/>
      <c r="CY94" s="466"/>
      <c r="CZ94" s="452"/>
      <c r="DA94" s="453"/>
      <c r="DB94" s="454"/>
      <c r="DC94" s="494"/>
      <c r="DD94" s="456"/>
    </row>
    <row r="95" spans="2:108" x14ac:dyDescent="0.2">
      <c r="C95" s="16" t="s">
        <v>399</v>
      </c>
      <c r="D95" s="427"/>
      <c r="E95" s="428"/>
      <c r="F95" s="431">
        <v>0</v>
      </c>
      <c r="G95" s="429">
        <v>0</v>
      </c>
      <c r="H95" s="459" t="s">
        <v>400</v>
      </c>
      <c r="I95" s="460"/>
      <c r="J95" s="6">
        <v>0</v>
      </c>
      <c r="K95" s="9">
        <v>0</v>
      </c>
      <c r="L95" s="27">
        <v>0</v>
      </c>
      <c r="M95" s="12">
        <v>0</v>
      </c>
      <c r="N95" s="9">
        <v>0</v>
      </c>
      <c r="O95" s="27">
        <v>0</v>
      </c>
      <c r="CA95" s="427"/>
      <c r="CB95" s="428"/>
      <c r="CC95" s="431">
        <v>0</v>
      </c>
      <c r="CD95" s="429">
        <v>0</v>
      </c>
      <c r="CE95" s="459" t="s">
        <v>400</v>
      </c>
      <c r="CF95" s="460"/>
      <c r="CG95" s="427"/>
      <c r="CH95" s="428"/>
      <c r="CI95" s="431">
        <v>0</v>
      </c>
      <c r="CJ95" s="429">
        <v>0</v>
      </c>
      <c r="CK95" s="459" t="s">
        <v>400</v>
      </c>
      <c r="CL95" s="460"/>
      <c r="CM95" s="427"/>
      <c r="CN95" s="428"/>
      <c r="CO95" s="431">
        <v>0</v>
      </c>
      <c r="CP95" s="429">
        <v>0</v>
      </c>
      <c r="CQ95" s="459" t="s">
        <v>400</v>
      </c>
      <c r="CR95" s="460"/>
      <c r="CS95" s="427"/>
      <c r="CT95" s="428"/>
      <c r="CU95" s="431"/>
      <c r="CV95" s="429"/>
      <c r="CW95" s="459"/>
      <c r="CX95" s="460"/>
      <c r="CY95" s="427"/>
      <c r="CZ95" s="428"/>
      <c r="DA95" s="431"/>
      <c r="DB95" s="429"/>
      <c r="DC95" s="459"/>
      <c r="DD95" s="460"/>
    </row>
    <row r="96" spans="2:108" ht="3.95" customHeight="1" x14ac:dyDescent="0.2">
      <c r="C96" s="16"/>
      <c r="D96" s="427"/>
      <c r="E96" s="428"/>
      <c r="F96" s="431"/>
      <c r="G96" s="429"/>
      <c r="H96" s="457"/>
      <c r="I96" s="458"/>
      <c r="J96" s="5"/>
      <c r="K96" s="9"/>
      <c r="L96" s="27"/>
      <c r="M96" s="12"/>
      <c r="N96" s="9"/>
      <c r="O96" s="27"/>
      <c r="CA96" s="427"/>
      <c r="CB96" s="428"/>
      <c r="CC96" s="431"/>
      <c r="CD96" s="429"/>
      <c r="CE96" s="457"/>
      <c r="CF96" s="458"/>
      <c r="CG96" s="427"/>
      <c r="CH96" s="428"/>
      <c r="CI96" s="431"/>
      <c r="CJ96" s="429"/>
      <c r="CK96" s="457"/>
      <c r="CL96" s="458"/>
      <c r="CM96" s="427"/>
      <c r="CN96" s="428"/>
      <c r="CO96" s="431"/>
      <c r="CP96" s="429"/>
      <c r="CQ96" s="457"/>
      <c r="CR96" s="458"/>
      <c r="CS96" s="427"/>
      <c r="CT96" s="428"/>
      <c r="CU96" s="431"/>
      <c r="CV96" s="429"/>
      <c r="CW96" s="457"/>
      <c r="CX96" s="458"/>
      <c r="CY96" s="427"/>
      <c r="CZ96" s="428"/>
      <c r="DA96" s="431"/>
      <c r="DB96" s="429"/>
      <c r="DC96" s="457"/>
      <c r="DD96" s="458"/>
    </row>
    <row r="97" spans="1:108" x14ac:dyDescent="0.2">
      <c r="C97" s="216" t="s">
        <v>403</v>
      </c>
      <c r="D97" s="468"/>
      <c r="E97" s="469"/>
      <c r="F97" s="470"/>
      <c r="G97" s="471"/>
      <c r="H97" s="472"/>
      <c r="I97" s="473"/>
      <c r="J97" s="66">
        <f>SUM(J94:J95)</f>
        <v>0</v>
      </c>
      <c r="K97" s="67">
        <f t="shared" ref="K97:O97" si="87">SUM(K94:K95)</f>
        <v>0</v>
      </c>
      <c r="L97" s="68">
        <f t="shared" si="87"/>
        <v>0</v>
      </c>
      <c r="M97" s="69">
        <f t="shared" si="87"/>
        <v>0</v>
      </c>
      <c r="N97" s="67">
        <f t="shared" si="87"/>
        <v>0</v>
      </c>
      <c r="O97" s="68">
        <f t="shared" si="87"/>
        <v>0</v>
      </c>
      <c r="CA97" s="468"/>
      <c r="CB97" s="469"/>
      <c r="CC97" s="470"/>
      <c r="CD97" s="471"/>
      <c r="CE97" s="472"/>
      <c r="CF97" s="473"/>
      <c r="CG97" s="468"/>
      <c r="CH97" s="469"/>
      <c r="CI97" s="470"/>
      <c r="CJ97" s="471"/>
      <c r="CK97" s="472"/>
      <c r="CL97" s="473"/>
      <c r="CM97" s="468"/>
      <c r="CN97" s="469"/>
      <c r="CO97" s="470"/>
      <c r="CP97" s="471"/>
      <c r="CQ97" s="472"/>
      <c r="CR97" s="473"/>
      <c r="CS97" s="468"/>
      <c r="CT97" s="469"/>
      <c r="CU97" s="470"/>
      <c r="CV97" s="471"/>
      <c r="CW97" s="472"/>
      <c r="CX97" s="473"/>
      <c r="CY97" s="468"/>
      <c r="CZ97" s="469"/>
      <c r="DA97" s="470"/>
      <c r="DB97" s="471"/>
      <c r="DC97" s="472"/>
      <c r="DD97" s="473"/>
    </row>
    <row r="98" spans="1:108" x14ac:dyDescent="0.2">
      <c r="A98" s="1"/>
      <c r="C98" s="147" t="str">
        <f>CONCATENATE("Idem referentie ",$F$10)</f>
        <v>Idem referentie (2) appartementen</v>
      </c>
      <c r="D98" s="474"/>
      <c r="E98" s="475"/>
      <c r="F98" s="476"/>
      <c r="G98" s="435"/>
      <c r="H98" s="436"/>
      <c r="I98" s="477"/>
      <c r="J98" s="153">
        <v>0</v>
      </c>
      <c r="K98" s="138">
        <v>0</v>
      </c>
      <c r="L98" s="139">
        <v>0</v>
      </c>
      <c r="M98" s="140">
        <v>0</v>
      </c>
      <c r="N98" s="138">
        <v>0</v>
      </c>
      <c r="O98" s="139">
        <v>0</v>
      </c>
      <c r="CA98" s="474"/>
      <c r="CB98" s="475"/>
      <c r="CC98" s="476"/>
      <c r="CD98" s="435"/>
      <c r="CE98" s="436"/>
      <c r="CF98" s="477"/>
      <c r="CG98" s="474"/>
      <c r="CH98" s="475"/>
      <c r="CI98" s="476"/>
      <c r="CJ98" s="435"/>
      <c r="CK98" s="436"/>
      <c r="CL98" s="477"/>
      <c r="CM98" s="474"/>
      <c r="CN98" s="475"/>
      <c r="CO98" s="476"/>
      <c r="CP98" s="435"/>
      <c r="CQ98" s="436"/>
      <c r="CR98" s="477"/>
      <c r="CS98" s="474"/>
      <c r="CT98" s="475"/>
      <c r="CU98" s="476"/>
      <c r="CV98" s="435"/>
      <c r="CW98" s="436"/>
      <c r="CX98" s="477"/>
      <c r="CY98" s="474"/>
      <c r="CZ98" s="475"/>
      <c r="DA98" s="476"/>
      <c r="DB98" s="435"/>
      <c r="DC98" s="436"/>
      <c r="DD98" s="477"/>
    </row>
    <row r="99" spans="1:108" ht="3.95" customHeight="1" x14ac:dyDescent="0.2">
      <c r="D99" s="440"/>
      <c r="E99" s="438"/>
      <c r="F99" s="439"/>
      <c r="G99" s="439"/>
      <c r="H99" s="440"/>
      <c r="I99" s="437"/>
      <c r="CA99" s="440"/>
      <c r="CB99" s="438"/>
      <c r="CC99" s="439"/>
      <c r="CD99" s="439"/>
      <c r="CE99" s="440"/>
      <c r="CF99" s="437"/>
      <c r="CG99" s="440"/>
      <c r="CH99" s="438"/>
      <c r="CI99" s="439"/>
      <c r="CJ99" s="439"/>
      <c r="CK99" s="440"/>
      <c r="CL99" s="437"/>
      <c r="CM99" s="440"/>
      <c r="CN99" s="438"/>
      <c r="CO99" s="439"/>
      <c r="CP99" s="439"/>
      <c r="CQ99" s="440"/>
      <c r="CR99" s="437"/>
      <c r="CS99" s="440"/>
      <c r="CT99" s="438"/>
      <c r="CU99" s="439"/>
      <c r="CV99" s="439"/>
      <c r="CW99" s="440"/>
      <c r="CX99" s="437"/>
      <c r="CY99" s="440"/>
      <c r="CZ99" s="438"/>
      <c r="DA99" s="439"/>
      <c r="DB99" s="439"/>
      <c r="DC99" s="440"/>
      <c r="DD99" s="437"/>
    </row>
    <row r="100" spans="1:108" x14ac:dyDescent="0.2">
      <c r="C100" s="4" t="s">
        <v>412</v>
      </c>
      <c r="D100" s="440"/>
      <c r="E100" s="438"/>
      <c r="F100" s="438"/>
      <c r="G100" s="439"/>
      <c r="H100" s="440"/>
      <c r="I100" s="437"/>
      <c r="CA100" s="440"/>
      <c r="CB100" s="438"/>
      <c r="CC100" s="438"/>
      <c r="CD100" s="439"/>
      <c r="CE100" s="440"/>
      <c r="CF100" s="437"/>
      <c r="CG100" s="440"/>
      <c r="CH100" s="438"/>
      <c r="CI100" s="438"/>
      <c r="CJ100" s="439"/>
      <c r="CK100" s="440"/>
      <c r="CL100" s="437"/>
      <c r="CM100" s="440"/>
      <c r="CN100" s="438"/>
      <c r="CO100" s="438"/>
      <c r="CP100" s="439"/>
      <c r="CQ100" s="440"/>
      <c r="CR100" s="437"/>
      <c r="CS100" s="440"/>
      <c r="CT100" s="438"/>
      <c r="CU100" s="438"/>
      <c r="CV100" s="439"/>
      <c r="CW100" s="440"/>
      <c r="CX100" s="437"/>
      <c r="CY100" s="440"/>
      <c r="CZ100" s="438"/>
      <c r="DA100" s="438"/>
      <c r="DB100" s="439"/>
      <c r="DC100" s="440"/>
      <c r="DD100" s="437"/>
    </row>
    <row r="101" spans="1:108" x14ac:dyDescent="0.2">
      <c r="C101" s="4" t="s">
        <v>413</v>
      </c>
      <c r="D101" s="440"/>
      <c r="E101" s="438"/>
      <c r="F101" s="438"/>
      <c r="G101" s="439"/>
      <c r="H101" s="440"/>
      <c r="I101" s="437"/>
      <c r="CA101" s="440"/>
      <c r="CB101" s="438"/>
      <c r="CC101" s="438"/>
      <c r="CD101" s="439"/>
      <c r="CE101" s="440"/>
      <c r="CF101" s="437"/>
      <c r="CG101" s="440"/>
      <c r="CH101" s="438"/>
      <c r="CI101" s="438"/>
      <c r="CJ101" s="439"/>
      <c r="CK101" s="440"/>
      <c r="CL101" s="437"/>
      <c r="CM101" s="440"/>
      <c r="CN101" s="438"/>
      <c r="CO101" s="438"/>
      <c r="CP101" s="439"/>
      <c r="CQ101" s="440"/>
      <c r="CR101" s="437"/>
      <c r="CS101" s="440"/>
      <c r="CT101" s="438"/>
      <c r="CU101" s="438"/>
      <c r="CV101" s="439"/>
      <c r="CW101" s="440"/>
      <c r="CX101" s="437"/>
      <c r="CY101" s="440"/>
      <c r="CZ101" s="438"/>
      <c r="DA101" s="438"/>
      <c r="DB101" s="439"/>
      <c r="DC101" s="440"/>
      <c r="DD101" s="437"/>
    </row>
    <row r="102" spans="1:108" x14ac:dyDescent="0.2">
      <c r="C102" s="4" t="s">
        <v>414</v>
      </c>
      <c r="D102" s="440"/>
      <c r="E102" s="438"/>
      <c r="F102" s="438"/>
      <c r="G102" s="439"/>
      <c r="H102" s="440"/>
      <c r="I102" s="437"/>
      <c r="CA102" s="440"/>
      <c r="CB102" s="438"/>
      <c r="CC102" s="438"/>
      <c r="CD102" s="439"/>
      <c r="CE102" s="440"/>
      <c r="CF102" s="437"/>
      <c r="CG102" s="440"/>
      <c r="CH102" s="438"/>
      <c r="CI102" s="438"/>
      <c r="CJ102" s="439"/>
      <c r="CK102" s="440"/>
      <c r="CL102" s="437"/>
      <c r="CM102" s="440"/>
      <c r="CN102" s="438"/>
      <c r="CO102" s="438"/>
      <c r="CP102" s="439"/>
      <c r="CQ102" s="440"/>
      <c r="CR102" s="437"/>
      <c r="CS102" s="440"/>
      <c r="CT102" s="438"/>
      <c r="CU102" s="438"/>
      <c r="CV102" s="439"/>
      <c r="CW102" s="440"/>
      <c r="CX102" s="437"/>
      <c r="CY102" s="440"/>
      <c r="CZ102" s="438"/>
      <c r="DA102" s="438"/>
      <c r="DB102" s="439"/>
      <c r="DC102" s="440"/>
      <c r="DD102" s="437"/>
    </row>
    <row r="103" spans="1:108" x14ac:dyDescent="0.2">
      <c r="C103" s="4" t="s">
        <v>409</v>
      </c>
      <c r="D103" s="440"/>
      <c r="E103" s="438"/>
      <c r="F103" s="438"/>
      <c r="G103" s="439"/>
      <c r="H103" s="440"/>
      <c r="I103" s="437"/>
      <c r="CA103" s="440"/>
      <c r="CB103" s="438"/>
      <c r="CC103" s="438"/>
      <c r="CD103" s="439"/>
      <c r="CE103" s="440"/>
      <c r="CF103" s="437"/>
      <c r="CG103" s="440"/>
      <c r="CH103" s="438"/>
      <c r="CI103" s="438"/>
      <c r="CJ103" s="439"/>
      <c r="CK103" s="440"/>
      <c r="CL103" s="437"/>
      <c r="CM103" s="440"/>
      <c r="CN103" s="438"/>
      <c r="CO103" s="438"/>
      <c r="CP103" s="439"/>
      <c r="CQ103" s="440"/>
      <c r="CR103" s="437"/>
      <c r="CS103" s="440"/>
      <c r="CT103" s="438"/>
      <c r="CU103" s="438"/>
      <c r="CV103" s="439"/>
      <c r="CW103" s="440"/>
      <c r="CX103" s="437"/>
      <c r="CY103" s="440"/>
      <c r="CZ103" s="438"/>
      <c r="DA103" s="438"/>
      <c r="DB103" s="439"/>
      <c r="DC103" s="440"/>
      <c r="DD103" s="437"/>
    </row>
    <row r="104" spans="1:108" x14ac:dyDescent="0.2">
      <c r="C104" s="4" t="s">
        <v>410</v>
      </c>
      <c r="D104" s="440"/>
      <c r="E104" s="438"/>
      <c r="F104" s="438"/>
      <c r="G104" s="439"/>
      <c r="H104" s="440"/>
      <c r="I104" s="437"/>
      <c r="CA104" s="440"/>
      <c r="CB104" s="438"/>
      <c r="CC104" s="438"/>
      <c r="CD104" s="439"/>
      <c r="CE104" s="440"/>
      <c r="CF104" s="437"/>
      <c r="CG104" s="440"/>
      <c r="CH104" s="438"/>
      <c r="CI104" s="438"/>
      <c r="CJ104" s="439"/>
      <c r="CK104" s="440"/>
      <c r="CL104" s="437"/>
      <c r="CM104" s="440"/>
      <c r="CN104" s="438"/>
      <c r="CO104" s="438"/>
      <c r="CP104" s="439"/>
      <c r="CQ104" s="440"/>
      <c r="CR104" s="437"/>
      <c r="CS104" s="440"/>
      <c r="CT104" s="438"/>
      <c r="CU104" s="438"/>
      <c r="CV104" s="439"/>
      <c r="CW104" s="440"/>
      <c r="CX104" s="437"/>
      <c r="CY104" s="440"/>
      <c r="CZ104" s="438"/>
      <c r="DA104" s="438"/>
      <c r="DB104" s="439"/>
      <c r="DC104" s="440"/>
      <c r="DD104" s="437"/>
    </row>
    <row r="105" spans="1:108" x14ac:dyDescent="0.2">
      <c r="C105" s="4" t="s">
        <v>407</v>
      </c>
      <c r="D105" s="438"/>
      <c r="E105" s="438"/>
      <c r="F105" s="439"/>
      <c r="G105" s="439"/>
      <c r="H105" s="440"/>
      <c r="I105" s="437"/>
      <c r="CA105" s="438"/>
      <c r="CB105" s="438"/>
      <c r="CC105" s="439"/>
      <c r="CD105" s="439"/>
      <c r="CE105" s="440"/>
      <c r="CF105" s="437"/>
      <c r="CG105" s="438"/>
      <c r="CH105" s="438"/>
      <c r="CI105" s="439"/>
      <c r="CJ105" s="439"/>
      <c r="CK105" s="440"/>
      <c r="CL105" s="437"/>
      <c r="CM105" s="438"/>
      <c r="CN105" s="438"/>
      <c r="CO105" s="439"/>
      <c r="CP105" s="439"/>
      <c r="CQ105" s="440"/>
      <c r="CR105" s="437"/>
      <c r="CS105" s="438"/>
      <c r="CT105" s="438"/>
      <c r="CU105" s="439"/>
      <c r="CV105" s="439"/>
      <c r="CW105" s="440"/>
      <c r="CX105" s="437"/>
      <c r="CY105" s="438"/>
      <c r="CZ105" s="438"/>
      <c r="DA105" s="439"/>
      <c r="DB105" s="439"/>
      <c r="DC105" s="440"/>
      <c r="DD105" s="437"/>
    </row>
    <row r="106" spans="1:108" x14ac:dyDescent="0.2">
      <c r="C106" s="4" t="s">
        <v>408</v>
      </c>
      <c r="D106" s="438"/>
      <c r="E106" s="438"/>
      <c r="F106" s="439"/>
      <c r="G106" s="439"/>
      <c r="H106" s="440"/>
      <c r="I106" s="437"/>
      <c r="CA106" s="438"/>
      <c r="CB106" s="438"/>
      <c r="CC106" s="439"/>
      <c r="CD106" s="439"/>
      <c r="CE106" s="440"/>
      <c r="CF106" s="437"/>
      <c r="CG106" s="438"/>
      <c r="CH106" s="438"/>
      <c r="CI106" s="439"/>
      <c r="CJ106" s="439"/>
      <c r="CK106" s="440"/>
      <c r="CL106" s="437"/>
      <c r="CM106" s="438"/>
      <c r="CN106" s="438"/>
      <c r="CO106" s="439"/>
      <c r="CP106" s="439"/>
      <c r="CQ106" s="440"/>
      <c r="CR106" s="437"/>
      <c r="CS106" s="438"/>
      <c r="CT106" s="438"/>
      <c r="CU106" s="439"/>
      <c r="CV106" s="439"/>
      <c r="CW106" s="440"/>
      <c r="CX106" s="437"/>
      <c r="CY106" s="438"/>
      <c r="CZ106" s="438"/>
      <c r="DA106" s="439"/>
      <c r="DB106" s="439"/>
      <c r="DC106" s="440"/>
      <c r="DD106" s="437"/>
    </row>
    <row r="107" spans="1:108" ht="15.75" x14ac:dyDescent="0.25">
      <c r="C107" s="106" t="s">
        <v>331</v>
      </c>
      <c r="D107" s="495"/>
      <c r="E107" s="438"/>
      <c r="F107" s="439"/>
      <c r="G107" s="439"/>
      <c r="H107" s="440"/>
      <c r="I107" s="437"/>
      <c r="CA107" s="495"/>
      <c r="CB107" s="438"/>
      <c r="CC107" s="439"/>
      <c r="CD107" s="439"/>
      <c r="CE107" s="440"/>
      <c r="CF107" s="437"/>
      <c r="CG107" s="495"/>
      <c r="CH107" s="438"/>
      <c r="CI107" s="439"/>
      <c r="CJ107" s="439"/>
      <c r="CK107" s="440"/>
      <c r="CL107" s="437"/>
      <c r="CM107" s="495"/>
      <c r="CN107" s="438"/>
      <c r="CO107" s="439"/>
      <c r="CP107" s="439"/>
      <c r="CQ107" s="440"/>
      <c r="CR107" s="437"/>
      <c r="CS107" s="495"/>
      <c r="CT107" s="438"/>
      <c r="CU107" s="439"/>
      <c r="CV107" s="439"/>
      <c r="CW107" s="440"/>
      <c r="CX107" s="437"/>
      <c r="CY107" s="495"/>
      <c r="CZ107" s="438"/>
      <c r="DA107" s="439"/>
      <c r="DB107" s="439"/>
      <c r="DC107" s="440"/>
      <c r="DD107" s="437"/>
    </row>
    <row r="108" spans="1:108" ht="6" customHeight="1" x14ac:dyDescent="0.2">
      <c r="D108" s="440"/>
      <c r="E108" s="438"/>
      <c r="F108" s="439"/>
      <c r="G108" s="439"/>
      <c r="H108" s="440"/>
      <c r="I108" s="437"/>
      <c r="CA108" s="440"/>
      <c r="CB108" s="438"/>
      <c r="CC108" s="439"/>
      <c r="CD108" s="439"/>
      <c r="CE108" s="440"/>
      <c r="CF108" s="437"/>
      <c r="CG108" s="440"/>
      <c r="CH108" s="438"/>
      <c r="CI108" s="439"/>
      <c r="CJ108" s="439"/>
      <c r="CK108" s="440"/>
      <c r="CL108" s="437"/>
      <c r="CM108" s="440"/>
      <c r="CN108" s="438"/>
      <c r="CO108" s="439"/>
      <c r="CP108" s="439"/>
      <c r="CQ108" s="440"/>
      <c r="CR108" s="437"/>
      <c r="CS108" s="440"/>
      <c r="CT108" s="438"/>
      <c r="CU108" s="439"/>
      <c r="CV108" s="439"/>
      <c r="CW108" s="440"/>
      <c r="CX108" s="437"/>
      <c r="CY108" s="440"/>
      <c r="CZ108" s="438"/>
      <c r="DA108" s="439"/>
      <c r="DB108" s="439"/>
      <c r="DC108" s="440"/>
      <c r="DD108" s="437"/>
    </row>
    <row r="109" spans="1:108" x14ac:dyDescent="0.2">
      <c r="C109" s="4" t="s">
        <v>415</v>
      </c>
      <c r="D109" s="440"/>
      <c r="E109" s="438"/>
      <c r="F109" s="438"/>
      <c r="G109" s="439"/>
      <c r="H109" s="440"/>
      <c r="I109" s="437"/>
      <c r="AB109" s="379" t="s">
        <v>549</v>
      </c>
      <c r="AG109" s="379" t="s">
        <v>552</v>
      </c>
      <c r="AL109" s="379" t="s">
        <v>553</v>
      </c>
      <c r="AQ109" s="379" t="s">
        <v>554</v>
      </c>
      <c r="AV109" s="379" t="s">
        <v>555</v>
      </c>
      <c r="BA109" s="379" t="s">
        <v>555</v>
      </c>
      <c r="CA109" s="440"/>
      <c r="CB109" s="438"/>
      <c r="CC109" s="438"/>
      <c r="CD109" s="439"/>
      <c r="CE109" s="440"/>
      <c r="CF109" s="437"/>
      <c r="CG109" s="440"/>
      <c r="CH109" s="438"/>
      <c r="CI109" s="438"/>
      <c r="CJ109" s="439"/>
      <c r="CK109" s="440"/>
      <c r="CL109" s="437"/>
      <c r="CM109" s="440"/>
      <c r="CN109" s="438"/>
      <c r="CO109" s="438"/>
      <c r="CP109" s="439"/>
      <c r="CQ109" s="440"/>
      <c r="CR109" s="437"/>
      <c r="CS109" s="440"/>
      <c r="CT109" s="438"/>
      <c r="CU109" s="438"/>
      <c r="CV109" s="439"/>
      <c r="CW109" s="440"/>
      <c r="CX109" s="437"/>
      <c r="CY109" s="440"/>
      <c r="CZ109" s="438"/>
      <c r="DA109" s="438"/>
      <c r="DB109" s="439"/>
      <c r="DC109" s="440"/>
      <c r="DD109" s="437"/>
    </row>
    <row r="110" spans="1:108" x14ac:dyDescent="0.2">
      <c r="C110" s="4" t="s">
        <v>289</v>
      </c>
      <c r="D110" s="440"/>
      <c r="E110" s="438"/>
      <c r="F110" s="438"/>
      <c r="G110" s="439"/>
      <c r="H110" s="440"/>
      <c r="I110" s="437"/>
      <c r="AB110" s="35" t="s">
        <v>551</v>
      </c>
      <c r="AG110" s="35" t="s">
        <v>551</v>
      </c>
      <c r="AL110" s="35" t="s">
        <v>551</v>
      </c>
      <c r="AQ110" s="35" t="s">
        <v>551</v>
      </c>
      <c r="AV110" s="35" t="s">
        <v>551</v>
      </c>
      <c r="BA110" s="35" t="s">
        <v>551</v>
      </c>
      <c r="CA110" s="440"/>
      <c r="CB110" s="438"/>
      <c r="CC110" s="438"/>
      <c r="CD110" s="439"/>
      <c r="CE110" s="440"/>
      <c r="CF110" s="437"/>
      <c r="CG110" s="440"/>
      <c r="CH110" s="438"/>
      <c r="CI110" s="438"/>
      <c r="CJ110" s="439"/>
      <c r="CK110" s="440"/>
      <c r="CL110" s="437"/>
      <c r="CM110" s="440"/>
      <c r="CN110" s="438"/>
      <c r="CO110" s="438"/>
      <c r="CP110" s="439"/>
      <c r="CQ110" s="440"/>
      <c r="CR110" s="437"/>
      <c r="CS110" s="440"/>
      <c r="CT110" s="438"/>
      <c r="CU110" s="438"/>
      <c r="CV110" s="439"/>
      <c r="CW110" s="440"/>
      <c r="CX110" s="437"/>
      <c r="CY110" s="440"/>
      <c r="CZ110" s="438"/>
      <c r="DA110" s="438"/>
      <c r="DB110" s="439"/>
      <c r="DC110" s="440"/>
      <c r="DD110" s="437"/>
    </row>
    <row r="111" spans="1:108" x14ac:dyDescent="0.2">
      <c r="C111" s="4" t="s">
        <v>404</v>
      </c>
      <c r="D111" s="440"/>
      <c r="E111" s="438"/>
      <c r="F111" s="438"/>
      <c r="G111" s="439"/>
      <c r="H111" s="440"/>
      <c r="I111" s="437"/>
      <c r="AB111" s="35" t="s">
        <v>550</v>
      </c>
      <c r="AG111" s="35" t="s">
        <v>550</v>
      </c>
      <c r="AL111" s="35" t="s">
        <v>550</v>
      </c>
      <c r="AQ111" s="35" t="s">
        <v>550</v>
      </c>
      <c r="AV111" s="35" t="s">
        <v>550</v>
      </c>
      <c r="BA111" s="35" t="s">
        <v>550</v>
      </c>
      <c r="CA111" s="440"/>
      <c r="CB111" s="438"/>
      <c r="CC111" s="438"/>
      <c r="CD111" s="439"/>
      <c r="CE111" s="440"/>
      <c r="CF111" s="437"/>
      <c r="CG111" s="440"/>
      <c r="CH111" s="438"/>
      <c r="CI111" s="438"/>
      <c r="CJ111" s="439"/>
      <c r="CK111" s="440"/>
      <c r="CL111" s="437"/>
      <c r="CM111" s="440"/>
      <c r="CN111" s="438"/>
      <c r="CO111" s="438"/>
      <c r="CP111" s="439"/>
      <c r="CQ111" s="440"/>
      <c r="CR111" s="437"/>
      <c r="CS111" s="440"/>
      <c r="CT111" s="438"/>
      <c r="CU111" s="438"/>
      <c r="CV111" s="439"/>
      <c r="CW111" s="440"/>
      <c r="CX111" s="437"/>
      <c r="CY111" s="440"/>
      <c r="CZ111" s="438"/>
      <c r="DA111" s="438"/>
      <c r="DB111" s="439"/>
      <c r="DC111" s="440"/>
      <c r="DD111" s="437"/>
    </row>
    <row r="112" spans="1:108" ht="25.5" customHeight="1" x14ac:dyDescent="0.2">
      <c r="C112" s="522" t="str">
        <f>IF($J$130="niet leverbaar", "PAS OP! NIET MOGELIJK",IF($J$132="niet leverbaar", "PAS OP! NIET MOGELIJK"," "))</f>
        <v>PAS OP! NIET MOGELIJK</v>
      </c>
      <c r="D112" s="440"/>
      <c r="E112" s="438"/>
      <c r="F112" s="438"/>
      <c r="G112" s="439"/>
      <c r="H112" s="440"/>
      <c r="I112" s="437"/>
      <c r="J112" s="203"/>
      <c r="AB112" s="379"/>
      <c r="AG112" s="379"/>
      <c r="AL112" s="379"/>
      <c r="AQ112" s="35"/>
      <c r="CA112" s="440"/>
      <c r="CB112" s="438"/>
      <c r="CC112" s="438"/>
      <c r="CD112" s="439"/>
      <c r="CE112" s="440"/>
      <c r="CF112" s="437"/>
      <c r="CG112" s="440"/>
      <c r="CH112" s="438"/>
      <c r="CI112" s="438"/>
      <c r="CJ112" s="439"/>
      <c r="CK112" s="440"/>
      <c r="CL112" s="437"/>
      <c r="CM112" s="440"/>
      <c r="CN112" s="438"/>
      <c r="CO112" s="438"/>
      <c r="CP112" s="439"/>
      <c r="CQ112" s="440"/>
      <c r="CR112" s="437"/>
      <c r="CS112" s="440"/>
      <c r="CT112" s="438"/>
      <c r="CU112" s="438"/>
      <c r="CV112" s="439"/>
      <c r="CW112" s="440"/>
      <c r="CX112" s="437"/>
      <c r="CY112" s="440"/>
      <c r="CZ112" s="438"/>
      <c r="DA112" s="438"/>
      <c r="DB112" s="439"/>
      <c r="DC112" s="440"/>
      <c r="DD112" s="437"/>
    </row>
    <row r="113" spans="1:108" x14ac:dyDescent="0.2">
      <c r="C113" s="164" t="s">
        <v>288</v>
      </c>
      <c r="D113" s="441"/>
      <c r="E113" s="496"/>
      <c r="F113" s="443" t="s">
        <v>180</v>
      </c>
      <c r="G113" s="444"/>
      <c r="H113" s="445"/>
      <c r="I113" s="478"/>
      <c r="J113" s="393" t="s">
        <v>49</v>
      </c>
      <c r="K113" s="383" t="s">
        <v>37</v>
      </c>
      <c r="L113" s="384" t="s">
        <v>27</v>
      </c>
      <c r="M113" s="385" t="s">
        <v>28</v>
      </c>
      <c r="N113" s="383" t="s">
        <v>35</v>
      </c>
      <c r="O113" s="384" t="s">
        <v>36</v>
      </c>
      <c r="T113" s="269" t="s">
        <v>444</v>
      </c>
      <c r="U113" s="261" t="s">
        <v>445</v>
      </c>
      <c r="V113" s="261"/>
      <c r="W113" s="261"/>
      <c r="X113" s="261"/>
      <c r="Y113" s="261"/>
      <c r="Z113" s="260" t="s">
        <v>447</v>
      </c>
      <c r="AA113" s="270" t="s">
        <v>446</v>
      </c>
      <c r="AB113" s="44" t="s">
        <v>146</v>
      </c>
      <c r="AC113" s="38"/>
      <c r="AD113" s="38"/>
      <c r="AE113" s="38"/>
      <c r="AF113" s="96"/>
      <c r="AG113" s="45" t="s">
        <v>147</v>
      </c>
      <c r="AH113" s="43"/>
      <c r="AI113" s="43"/>
      <c r="AJ113" s="43"/>
      <c r="AK113" s="97"/>
      <c r="AL113" s="319" t="s">
        <v>539</v>
      </c>
      <c r="AM113" s="320"/>
      <c r="AN113" s="320"/>
      <c r="AO113" s="320"/>
      <c r="AP113" s="262"/>
      <c r="AQ113" s="322" t="s">
        <v>28</v>
      </c>
      <c r="AR113" s="323"/>
      <c r="AS113" s="323"/>
      <c r="AT113" s="323"/>
      <c r="AU113" s="348"/>
      <c r="AV113" s="350" t="s">
        <v>540</v>
      </c>
      <c r="AW113" s="351"/>
      <c r="AX113" s="351"/>
      <c r="AY113" s="351"/>
      <c r="AZ113" s="352"/>
      <c r="BA113" s="327" t="s">
        <v>541</v>
      </c>
      <c r="BB113" s="328"/>
      <c r="BC113" s="328"/>
      <c r="BD113" s="328"/>
      <c r="BE113" s="356"/>
      <c r="BF113" s="71"/>
      <c r="BG113" s="71"/>
      <c r="BH113" s="98"/>
      <c r="BI113" s="71" t="s">
        <v>148</v>
      </c>
      <c r="BJ113" s="72" t="s">
        <v>149</v>
      </c>
      <c r="BL113" s="73" t="s">
        <v>156</v>
      </c>
      <c r="BM113" s="72"/>
      <c r="BN113" s="72"/>
      <c r="BO113" s="72"/>
      <c r="BP113" s="72"/>
      <c r="BR113" s="73" t="s">
        <v>157</v>
      </c>
      <c r="BS113" s="72"/>
      <c r="BT113" s="72"/>
      <c r="BU113" s="72"/>
      <c r="BV113" s="72"/>
      <c r="CA113" s="441"/>
      <c r="CB113" s="496"/>
      <c r="CC113" s="443" t="s">
        <v>180</v>
      </c>
      <c r="CD113" s="444"/>
      <c r="CE113" s="445"/>
      <c r="CF113" s="478"/>
      <c r="CG113" s="441"/>
      <c r="CH113" s="496"/>
      <c r="CI113" s="443" t="s">
        <v>180</v>
      </c>
      <c r="CJ113" s="444"/>
      <c r="CK113" s="445"/>
      <c r="CL113" s="478"/>
      <c r="CM113" s="441"/>
      <c r="CN113" s="496"/>
      <c r="CO113" s="443" t="s">
        <v>180</v>
      </c>
      <c r="CP113" s="444"/>
      <c r="CQ113" s="445"/>
      <c r="CR113" s="478"/>
      <c r="CS113" s="441"/>
      <c r="CT113" s="496"/>
      <c r="CU113" s="443" t="s">
        <v>180</v>
      </c>
      <c r="CV113" s="444"/>
      <c r="CW113" s="445"/>
      <c r="CX113" s="478"/>
      <c r="CY113" s="441"/>
      <c r="CZ113" s="496"/>
      <c r="DA113" s="443"/>
      <c r="DB113" s="444"/>
      <c r="DC113" s="445"/>
      <c r="DD113" s="478"/>
    </row>
    <row r="114" spans="1:108" x14ac:dyDescent="0.2">
      <c r="C114" s="89" t="str">
        <f>$F$11</f>
        <v>2012-07-01 Voorbeeld 1</v>
      </c>
      <c r="D114" s="446"/>
      <c r="E114" s="497"/>
      <c r="F114" s="448" t="s">
        <v>148</v>
      </c>
      <c r="G114" s="449" t="s">
        <v>149</v>
      </c>
      <c r="H114" s="450"/>
      <c r="I114" s="446"/>
      <c r="J114" s="394" t="str">
        <f>J23</f>
        <v>€ per 1-1-2012</v>
      </c>
      <c r="K114" s="387" t="str">
        <f>J114</f>
        <v>€ per 1-1-2012</v>
      </c>
      <c r="L114" s="388" t="s">
        <v>32</v>
      </c>
      <c r="M114" s="389" t="s">
        <v>33</v>
      </c>
      <c r="N114" s="387" t="s">
        <v>34</v>
      </c>
      <c r="O114" s="388" t="str">
        <f>J114</f>
        <v>€ per 1-1-2012</v>
      </c>
      <c r="T114" s="96" t="s">
        <v>441</v>
      </c>
      <c r="U114" s="262" t="s">
        <v>436</v>
      </c>
      <c r="V114" s="262" t="s">
        <v>437</v>
      </c>
      <c r="W114" s="262" t="s">
        <v>438</v>
      </c>
      <c r="X114" s="262" t="s">
        <v>439</v>
      </c>
      <c r="Y114" s="262" t="s">
        <v>440</v>
      </c>
      <c r="Z114" s="2" t="s">
        <v>448</v>
      </c>
      <c r="AB114" s="39" t="s">
        <v>457</v>
      </c>
      <c r="AC114" s="39"/>
      <c r="AD114" s="39"/>
      <c r="AE114" s="39"/>
      <c r="AF114" s="91"/>
      <c r="AG114" s="41" t="s">
        <v>457</v>
      </c>
      <c r="AH114" s="41"/>
      <c r="AI114" s="41"/>
      <c r="AJ114" s="41"/>
      <c r="AK114" s="92"/>
      <c r="AL114" s="355" t="s">
        <v>457</v>
      </c>
      <c r="AM114" s="355"/>
      <c r="AN114" s="355"/>
      <c r="AO114" s="355"/>
      <c r="AP114" s="263"/>
      <c r="AQ114" s="349" t="s">
        <v>457</v>
      </c>
      <c r="AR114" s="349"/>
      <c r="AS114" s="349"/>
      <c r="AT114" s="349"/>
      <c r="AU114" s="341"/>
      <c r="AV114" s="353" t="s">
        <v>457</v>
      </c>
      <c r="AW114" s="353"/>
      <c r="AX114" s="353"/>
      <c r="AY114" s="353"/>
      <c r="AZ114" s="342"/>
      <c r="BA114" s="357" t="s">
        <v>457</v>
      </c>
      <c r="BB114" s="357"/>
      <c r="BC114" s="357"/>
      <c r="BD114" s="357"/>
      <c r="BE114" s="343"/>
      <c r="BF114" s="74"/>
      <c r="BG114" s="74"/>
      <c r="BH114" s="74"/>
      <c r="BI114" s="93"/>
      <c r="BJ114" s="77"/>
      <c r="BL114" s="77" t="s">
        <v>455</v>
      </c>
      <c r="BM114" s="77"/>
      <c r="BN114" s="77"/>
      <c r="BO114" s="77"/>
      <c r="BP114" s="77"/>
      <c r="BR114" s="77" t="s">
        <v>456</v>
      </c>
      <c r="BS114" s="77"/>
      <c r="BT114" s="77"/>
      <c r="BU114" s="77"/>
      <c r="BV114" s="77"/>
      <c r="CA114" s="446"/>
      <c r="CB114" s="497"/>
      <c r="CC114" s="448" t="s">
        <v>148</v>
      </c>
      <c r="CD114" s="449" t="s">
        <v>149</v>
      </c>
      <c r="CE114" s="450"/>
      <c r="CF114" s="446"/>
      <c r="CG114" s="446"/>
      <c r="CH114" s="497"/>
      <c r="CI114" s="448" t="s">
        <v>148</v>
      </c>
      <c r="CJ114" s="449" t="s">
        <v>149</v>
      </c>
      <c r="CK114" s="450"/>
      <c r="CL114" s="446"/>
      <c r="CM114" s="446"/>
      <c r="CN114" s="497"/>
      <c r="CO114" s="448" t="s">
        <v>148</v>
      </c>
      <c r="CP114" s="449" t="s">
        <v>149</v>
      </c>
      <c r="CQ114" s="450"/>
      <c r="CR114" s="446"/>
      <c r="CS114" s="446"/>
      <c r="CT114" s="497"/>
      <c r="CU114" s="448" t="s">
        <v>148</v>
      </c>
      <c r="CV114" s="449" t="s">
        <v>149</v>
      </c>
      <c r="CW114" s="450"/>
      <c r="CX114" s="446"/>
      <c r="CY114" s="446"/>
      <c r="CZ114" s="497"/>
      <c r="DA114" s="448"/>
      <c r="DB114" s="449"/>
      <c r="DC114" s="450"/>
      <c r="DD114" s="446"/>
    </row>
    <row r="115" spans="1:108" x14ac:dyDescent="0.2">
      <c r="C115" s="14" t="s">
        <v>234</v>
      </c>
      <c r="D115" s="451"/>
      <c r="E115" s="498"/>
      <c r="F115" s="499"/>
      <c r="G115" s="499"/>
      <c r="H115" s="499"/>
      <c r="I115" s="500"/>
      <c r="J115" s="155"/>
      <c r="K115" s="8"/>
      <c r="L115" s="26"/>
      <c r="M115" s="11"/>
      <c r="N115" s="8"/>
      <c r="O115" s="26"/>
      <c r="T115" s="91"/>
      <c r="AB115" s="39"/>
      <c r="AC115" s="39"/>
      <c r="AD115" s="39"/>
      <c r="AE115" s="39"/>
      <c r="AF115" s="91"/>
      <c r="AG115" s="41"/>
      <c r="AH115" s="41"/>
      <c r="AI115" s="41"/>
      <c r="AJ115" s="41"/>
      <c r="AK115" s="92"/>
      <c r="AL115" s="355"/>
      <c r="AM115" s="355"/>
      <c r="AN115" s="355"/>
      <c r="AO115" s="355"/>
      <c r="AP115" s="263"/>
      <c r="AQ115" s="349"/>
      <c r="AR115" s="349"/>
      <c r="AS115" s="349"/>
      <c r="AT115" s="349"/>
      <c r="AU115" s="341"/>
      <c r="AV115" s="353"/>
      <c r="AW115" s="353"/>
      <c r="AX115" s="353"/>
      <c r="AY115" s="353"/>
      <c r="AZ115" s="342"/>
      <c r="BA115" s="357"/>
      <c r="BB115" s="357"/>
      <c r="BC115" s="357"/>
      <c r="BD115" s="357"/>
      <c r="BE115" s="343"/>
      <c r="BF115" s="74"/>
      <c r="BG115" s="74"/>
      <c r="BH115" s="74"/>
      <c r="BI115" s="76"/>
      <c r="BJ115" s="77"/>
      <c r="BL115" s="77"/>
      <c r="BM115" s="77"/>
      <c r="BN115" s="77"/>
      <c r="BO115" s="77"/>
      <c r="BP115" s="77"/>
      <c r="BR115" s="77"/>
      <c r="BS115" s="77"/>
      <c r="BT115" s="77"/>
      <c r="BU115" s="77"/>
      <c r="BV115" s="77"/>
      <c r="CA115" s="451"/>
      <c r="CB115" s="498"/>
      <c r="CC115" s="499"/>
      <c r="CD115" s="499"/>
      <c r="CE115" s="499"/>
      <c r="CF115" s="500"/>
      <c r="CG115" s="451"/>
      <c r="CH115" s="498"/>
      <c r="CI115" s="499"/>
      <c r="CJ115" s="499"/>
      <c r="CK115" s="499"/>
      <c r="CL115" s="500"/>
      <c r="CM115" s="451"/>
      <c r="CN115" s="498"/>
      <c r="CO115" s="499"/>
      <c r="CP115" s="499"/>
      <c r="CQ115" s="499"/>
      <c r="CR115" s="500"/>
      <c r="CS115" s="451"/>
      <c r="CT115" s="498"/>
      <c r="CU115" s="499"/>
      <c r="CV115" s="499"/>
      <c r="CW115" s="499"/>
      <c r="CX115" s="500"/>
      <c r="CY115" s="451"/>
      <c r="CZ115" s="498"/>
      <c r="DA115" s="499"/>
      <c r="DB115" s="499"/>
      <c r="DC115" s="499"/>
      <c r="DD115" s="500"/>
    </row>
    <row r="116" spans="1:108" x14ac:dyDescent="0.2">
      <c r="A116" s="1" t="s">
        <v>163</v>
      </c>
      <c r="C116" s="211" t="s">
        <v>51</v>
      </c>
      <c r="D116" s="501"/>
      <c r="E116" s="502"/>
      <c r="F116" s="459"/>
      <c r="G116" s="459"/>
      <c r="H116" s="459"/>
      <c r="I116" s="460"/>
      <c r="J116" s="156"/>
      <c r="K116" s="9"/>
      <c r="L116" s="27"/>
      <c r="M116" s="12"/>
      <c r="N116" s="9"/>
      <c r="O116" s="27"/>
      <c r="P116" s="84"/>
      <c r="T116" s="91"/>
      <c r="U116" s="99" t="s">
        <v>61</v>
      </c>
      <c r="AA116" s="35">
        <v>1</v>
      </c>
      <c r="AB116" s="40">
        <v>1</v>
      </c>
      <c r="AC116" s="40">
        <v>2</v>
      </c>
      <c r="AD116" s="40">
        <v>3</v>
      </c>
      <c r="AE116" s="40">
        <v>4</v>
      </c>
      <c r="AF116" s="40">
        <v>5</v>
      </c>
      <c r="AG116" s="42">
        <v>1</v>
      </c>
      <c r="AH116" s="42">
        <v>2</v>
      </c>
      <c r="AI116" s="42">
        <v>3</v>
      </c>
      <c r="AJ116" s="42">
        <v>4</v>
      </c>
      <c r="AK116" s="42">
        <v>5</v>
      </c>
      <c r="AL116" s="333">
        <v>1</v>
      </c>
      <c r="AM116" s="333">
        <v>2</v>
      </c>
      <c r="AN116" s="333">
        <v>3</v>
      </c>
      <c r="AO116" s="333">
        <v>4</v>
      </c>
      <c r="AP116" s="333">
        <v>5</v>
      </c>
      <c r="AQ116" s="334">
        <v>1</v>
      </c>
      <c r="AR116" s="334">
        <v>2</v>
      </c>
      <c r="AS116" s="334">
        <v>3</v>
      </c>
      <c r="AT116" s="334">
        <v>4</v>
      </c>
      <c r="AU116" s="334">
        <v>5</v>
      </c>
      <c r="AV116" s="354">
        <v>1</v>
      </c>
      <c r="AW116" s="354">
        <v>2</v>
      </c>
      <c r="AX116" s="354">
        <v>3</v>
      </c>
      <c r="AY116" s="354">
        <v>4</v>
      </c>
      <c r="AZ116" s="354">
        <v>5</v>
      </c>
      <c r="BA116" s="336">
        <v>1</v>
      </c>
      <c r="BB116" s="336">
        <v>2</v>
      </c>
      <c r="BC116" s="336">
        <v>3</v>
      </c>
      <c r="BD116" s="336">
        <v>4</v>
      </c>
      <c r="BE116" s="336">
        <v>5</v>
      </c>
      <c r="BF116" s="74"/>
      <c r="BG116" s="74"/>
      <c r="BH116" s="100">
        <v>1</v>
      </c>
      <c r="BI116" s="101"/>
      <c r="BJ116" s="55">
        <f>BJ9</f>
        <v>2</v>
      </c>
      <c r="BL116" s="74">
        <f>BL9</f>
        <v>1</v>
      </c>
      <c r="BM116" s="74">
        <f>BM9</f>
        <v>2</v>
      </c>
      <c r="BN116" s="74">
        <f>BN9</f>
        <v>3</v>
      </c>
      <c r="BO116" s="74">
        <f>BO9</f>
        <v>4</v>
      </c>
      <c r="BP116" s="74">
        <f>BP9</f>
        <v>5</v>
      </c>
      <c r="BR116" s="74">
        <v>1</v>
      </c>
      <c r="BS116" s="74">
        <v>2</v>
      </c>
      <c r="BT116" s="74">
        <v>3</v>
      </c>
      <c r="BU116" s="74">
        <v>4</v>
      </c>
      <c r="BV116" s="74">
        <v>5</v>
      </c>
      <c r="CA116" s="501"/>
      <c r="CB116" s="502"/>
      <c r="CC116" s="459"/>
      <c r="CD116" s="459"/>
      <c r="CE116" s="459"/>
      <c r="CF116" s="460"/>
      <c r="CG116" s="501"/>
      <c r="CH116" s="502"/>
      <c r="CI116" s="459"/>
      <c r="CJ116" s="459"/>
      <c r="CK116" s="459"/>
      <c r="CL116" s="460"/>
      <c r="CM116" s="501"/>
      <c r="CN116" s="502"/>
      <c r="CO116" s="459"/>
      <c r="CP116" s="459"/>
      <c r="CQ116" s="459"/>
      <c r="CR116" s="460"/>
      <c r="CS116" s="501"/>
      <c r="CT116" s="502"/>
      <c r="CU116" s="459"/>
      <c r="CV116" s="459"/>
      <c r="CW116" s="459"/>
      <c r="CX116" s="460"/>
      <c r="CY116" s="501"/>
      <c r="CZ116" s="502"/>
      <c r="DA116" s="459"/>
      <c r="DB116" s="459"/>
      <c r="DC116" s="459"/>
      <c r="DD116" s="460"/>
    </row>
    <row r="117" spans="1:108" x14ac:dyDescent="0.2">
      <c r="A117" s="49"/>
      <c r="B117" s="33">
        <v>11</v>
      </c>
      <c r="C117" s="212" t="s">
        <v>291</v>
      </c>
      <c r="D117" s="503"/>
      <c r="E117" s="502"/>
      <c r="F117" s="426">
        <f>BI117</f>
        <v>60.280373831775698</v>
      </c>
      <c r="G117" s="486">
        <f>BJ117</f>
        <v>60.280373831775698</v>
      </c>
      <c r="H117" s="459" t="s">
        <v>22</v>
      </c>
      <c r="I117" s="460"/>
      <c r="J117" s="156">
        <f>HLOOKUP($Z117,$AB$116:$AF$183,$AA117,FALSE)*$F117</f>
        <v>1067.5288002157124</v>
      </c>
      <c r="K117" s="9">
        <f>HLOOKUP($Z117,$AG$116:$AK$183,$AA117,FALSE)*$F117</f>
        <v>219.80032710326267</v>
      </c>
      <c r="L117" s="27">
        <f>HLOOKUP($Z117,$AL$116:$AP$183,$AA117,FALSE)*$F117</f>
        <v>829.51249766372143</v>
      </c>
      <c r="M117" s="12">
        <f>HLOOKUP($Z117,$AQ$116:$AU$183,$AA117,FALSE)*$F117</f>
        <v>5695.5263200553272</v>
      </c>
      <c r="N117" s="9">
        <f>HLOOKUP($Z117,$AV$116:$AZ$183,$AA117,FALSE)*$F117</f>
        <v>479.98127102815556</v>
      </c>
      <c r="O117" s="27">
        <f>HLOOKUP($Z117,$BA$116:$BE$183,$AA117,FALSE)*$F117</f>
        <v>65.622721962416819</v>
      </c>
      <c r="T117" s="91" t="str">
        <f>CONCATENATE("ref: ",Referentieproject!T117)</f>
        <v>ref: 1 gesloten grondbalans (+17%nw.zand)</v>
      </c>
      <c r="U117" s="263" t="s">
        <v>333</v>
      </c>
      <c r="V117" s="263" t="s">
        <v>345</v>
      </c>
      <c r="W117" s="263" t="s">
        <v>346</v>
      </c>
      <c r="X117" s="263" t="s">
        <v>347</v>
      </c>
      <c r="Y117" s="263" t="s">
        <v>62</v>
      </c>
      <c r="Z117" s="2">
        <f>IF(D197=T117,Referentieproject!Z117,IF(D197=U117,1,IF(D197=V117,2,IF(D197=W117,3,IF(D197=X117,4,5)))))</f>
        <v>1</v>
      </c>
      <c r="AA117" s="35">
        <f>AA116+1</f>
        <v>2</v>
      </c>
      <c r="AB117" s="35">
        <f>HLOOKUP(AB$116,Kostengegevens!$AK$74:$BN$135,Stappen!$AA117,FALSE)</f>
        <v>17.709392499702517</v>
      </c>
      <c r="AC117" s="35">
        <f>HLOOKUP(AC$116,Kostengegevens!$AK$74:$BN$135,Stappen!$AA117,FALSE)</f>
        <v>56.004722499564522</v>
      </c>
      <c r="AD117" s="35">
        <f>HLOOKUP(AD$116,Kostengegevens!$AK$74:$BN$135,Stappen!$AA117,FALSE)</f>
        <v>126.49869250106858</v>
      </c>
      <c r="AE117" s="35">
        <f>HLOOKUP(AE$116,Kostengegevens!$AK$74:$BN$135,Stappen!$AA117,FALSE)</f>
        <v>184.29669250041479</v>
      </c>
      <c r="AF117" s="3"/>
      <c r="AG117" s="35">
        <f>HLOOKUP(AG$116+10,Kostengegevens!$AK$74:$BN$135,Stappen!$AA117,FALSE)</f>
        <v>3.6463000000076136</v>
      </c>
      <c r="AH117" s="35">
        <f>HLOOKUP(AH$116+10,Kostengegevens!$AK$74:$BN$135,Stappen!$AA117,FALSE)</f>
        <v>11.957237500013289</v>
      </c>
      <c r="AI117" s="35">
        <f>HLOOKUP(AI$116+10,Kostengegevens!$AK$74:$BN$135,Stappen!$AA117,FALSE)</f>
        <v>27.49229999993986</v>
      </c>
      <c r="AJ117" s="35">
        <f>HLOOKUP(AJ$116+10,Kostengegevens!$AK$74:$BN$135,Stappen!$AA117,FALSE)</f>
        <v>27.492300000091198</v>
      </c>
      <c r="AK117" s="3"/>
      <c r="AL117" s="35">
        <f>HLOOKUP(AL$116+20,Kostengegevens!$AK$74:$BN$135,Stappen!$AA117,FALSE)</f>
        <v>13.760905000002822</v>
      </c>
      <c r="AM117" s="35">
        <f>HLOOKUP(AM$116+20,Kostengegevens!$AK$74:$BN$135,Stappen!$AA117,FALSE)</f>
        <v>36.06713500002806</v>
      </c>
      <c r="AN117" s="35">
        <f>HLOOKUP(AN$116+20,Kostengegevens!$AK$74:$BN$135,Stappen!$AA117,FALSE)</f>
        <v>79.90320499993976</v>
      </c>
      <c r="AO117" s="35">
        <f>HLOOKUP(AO$116+20,Kostengegevens!$AK$74:$BN$135,Stappen!$AA117,FALSE)</f>
        <v>79.90320499993976</v>
      </c>
      <c r="AP117" s="3"/>
      <c r="AQ117" s="35">
        <f>HLOOKUP(AQ$116+30,Kostengegevens!$AK$74:$BN$135,Stappen!$AA117,FALSE)</f>
        <v>94.483924999367446</v>
      </c>
      <c r="AR117" s="35">
        <f>HLOOKUP(AR$116+30,Kostengegevens!$AK$74:$BN$135,Stappen!$AA117,FALSE)</f>
        <v>338.00528749745803</v>
      </c>
      <c r="AS117" s="35">
        <f>HLOOKUP(AS$116+30,Kostengegevens!$AK$74:$BN$135,Stappen!$AA117,FALSE)</f>
        <v>916.31392500689253</v>
      </c>
      <c r="AT117" s="35">
        <f>HLOOKUP(AT$116+30,Kostengegevens!$AK$74:$BN$135,Stappen!$AA117,FALSE)</f>
        <v>916.31392499236381</v>
      </c>
      <c r="AU117" s="3"/>
      <c r="AV117" s="35">
        <f>HLOOKUP(AV$116+40,Kostengegevens!$AK$74:$BN$135,Stappen!$AA117,FALSE)</f>
        <v>7.9624800000019604</v>
      </c>
      <c r="AW117" s="35">
        <f>HLOOKUP(AW$116+40,Kostengegevens!$AK$74:$BN$135,Stappen!$AA117,FALSE)</f>
        <v>15.029909999962619</v>
      </c>
      <c r="AX117" s="35">
        <f>HLOOKUP(AX$116+40,Kostengegevens!$AK$74:$BN$135,Stappen!$AA117,FALSE)</f>
        <v>23.780280000105268</v>
      </c>
      <c r="AY117" s="35">
        <f>HLOOKUP(AY$116+40,Kostengegevens!$AK$74:$BN$135,Stappen!$AA117,FALSE)</f>
        <v>23.780279999878257</v>
      </c>
      <c r="AZ117" s="3"/>
      <c r="BA117" s="35">
        <f>HLOOKUP(BA$116+50,Kostengegevens!$AK$74:$BN$135,Stappen!$AA117,FALSE)</f>
        <v>1.0886249999966822</v>
      </c>
      <c r="BB117" s="35">
        <f>HLOOKUP(BB$116+50,Kostengegevens!$AK$74:$BN$135,Stappen!$AA117,FALSE)</f>
        <v>5.4504375000068102</v>
      </c>
      <c r="BC117" s="35">
        <f>HLOOKUP(BC$116+50,Kostengegevens!$AK$74:$BN$135,Stappen!$AA117,FALSE)</f>
        <v>6.3006249999525599</v>
      </c>
      <c r="BD117" s="35">
        <f>HLOOKUP(BD$116+50,Kostengegevens!$AK$74:$BN$135,Stappen!$AA117,FALSE)</f>
        <v>7.2366249999919088</v>
      </c>
      <c r="BE117" s="3"/>
      <c r="BG117" s="2">
        <v>2</v>
      </c>
      <c r="BH117" s="59">
        <v>2</v>
      </c>
      <c r="BI117" s="35">
        <f>BJ117/BJ$25*BI$25</f>
        <v>60.280373831775698</v>
      </c>
      <c r="BJ117" s="56">
        <f>HLOOKUP(BJ$116,$BL$116:$BP$178,BH117,FALSE)*VLOOKUP($BG117,$BH$24:$BJ$46,3,FALSE)</f>
        <v>60.280373831775698</v>
      </c>
      <c r="BK117" s="47" t="s">
        <v>22</v>
      </c>
      <c r="BL117" s="102">
        <f>309/309</f>
        <v>1</v>
      </c>
      <c r="BM117" s="102">
        <f>516/516</f>
        <v>1</v>
      </c>
      <c r="BN117" s="102">
        <f>309/309</f>
        <v>1</v>
      </c>
      <c r="BO117" s="102">
        <f>580/580</f>
        <v>1</v>
      </c>
      <c r="BP117" s="102">
        <f>309/309</f>
        <v>1</v>
      </c>
      <c r="BR117" s="2">
        <v>1</v>
      </c>
      <c r="BS117" s="2">
        <v>1</v>
      </c>
      <c r="BT117" s="2">
        <v>1</v>
      </c>
      <c r="BU117" s="2">
        <v>1</v>
      </c>
      <c r="CA117" s="503"/>
      <c r="CB117" s="502"/>
      <c r="CC117" s="426">
        <f>EF117</f>
        <v>0</v>
      </c>
      <c r="CD117" s="486">
        <f>EG117</f>
        <v>0</v>
      </c>
      <c r="CE117" s="459" t="s">
        <v>22</v>
      </c>
      <c r="CF117" s="460"/>
      <c r="CG117" s="503"/>
      <c r="CH117" s="502"/>
      <c r="CI117" s="426">
        <f>EL117</f>
        <v>0</v>
      </c>
      <c r="CJ117" s="486">
        <f>EM117</f>
        <v>0</v>
      </c>
      <c r="CK117" s="459" t="s">
        <v>22</v>
      </c>
      <c r="CL117" s="460"/>
      <c r="CM117" s="503"/>
      <c r="CN117" s="502"/>
      <c r="CO117" s="426">
        <f>ER117</f>
        <v>0</v>
      </c>
      <c r="CP117" s="486">
        <f>ES117</f>
        <v>0</v>
      </c>
      <c r="CQ117" s="459" t="s">
        <v>22</v>
      </c>
      <c r="CR117" s="460"/>
      <c r="CS117" s="503"/>
      <c r="CT117" s="502"/>
      <c r="CU117" s="426">
        <f>EX117</f>
        <v>0</v>
      </c>
      <c r="CV117" s="486">
        <f>EY117</f>
        <v>0</v>
      </c>
      <c r="CW117" s="459" t="s">
        <v>22</v>
      </c>
      <c r="CX117" s="460"/>
      <c r="CY117" s="503"/>
      <c r="CZ117" s="502"/>
      <c r="DA117" s="426"/>
      <c r="DB117" s="429"/>
      <c r="DC117" s="459"/>
      <c r="DD117" s="460"/>
    </row>
    <row r="118" spans="1:108" x14ac:dyDescent="0.2">
      <c r="A118" s="49"/>
      <c r="B118" s="33">
        <v>13</v>
      </c>
      <c r="C118" s="212" t="s">
        <v>292</v>
      </c>
      <c r="D118" s="503"/>
      <c r="E118" s="502"/>
      <c r="F118" s="426">
        <f t="shared" ref="F118:F120" si="88">BI118</f>
        <v>1.4018691588785046</v>
      </c>
      <c r="G118" s="429">
        <f t="shared" ref="G118:G120" si="89">BJ118</f>
        <v>1.4018691588785046</v>
      </c>
      <c r="H118" s="459" t="s">
        <v>22</v>
      </c>
      <c r="I118" s="460"/>
      <c r="J118" s="156">
        <f>HLOOKUP($Z118,$AB$116:$AF$183,$AA118,FALSE)*$F118</f>
        <v>0</v>
      </c>
      <c r="K118" s="9">
        <f t="shared" ref="K118:K174" si="90">HLOOKUP($Z118,$AG$116:$AK$183,$AA118,FALSE)*$F118</f>
        <v>0</v>
      </c>
      <c r="L118" s="27">
        <f t="shared" ref="L118:L174" si="91">HLOOKUP($Z118,$AL$116:$AP$183,$AA118,FALSE)*$F118</f>
        <v>0</v>
      </c>
      <c r="M118" s="12">
        <f t="shared" ref="M118:M174" si="92">HLOOKUP($Z118,$AQ$116:$AU$183,$AA118,FALSE)*$F118</f>
        <v>0</v>
      </c>
      <c r="N118" s="9">
        <f t="shared" ref="N118:N174" si="93">HLOOKUP($Z118,$AV$116:$AZ$183,$AA118,FALSE)*$F118</f>
        <v>0</v>
      </c>
      <c r="O118" s="27">
        <f t="shared" ref="O118:O174" si="94">HLOOKUP($Z118,$BA$116:$BE$183,$AA118,FALSE)*$F118</f>
        <v>0</v>
      </c>
      <c r="T118" s="91" t="str">
        <f>CONCATENATE("ref: ",Referentieproject!T118)</f>
        <v>ref: 1 alleen liftput(ten)</v>
      </c>
      <c r="U118" s="263" t="s">
        <v>63</v>
      </c>
      <c r="V118" s="99" t="s">
        <v>64</v>
      </c>
      <c r="W118" s="99" t="s">
        <v>65</v>
      </c>
      <c r="X118" s="263" t="s">
        <v>416</v>
      </c>
      <c r="Y118" s="263" t="s">
        <v>62</v>
      </c>
      <c r="Z118" s="2">
        <f>IF(D198=T118,Referentieproject!Z118,IF(D198=U118,1,IF(D198=V118,2,IF(D198=W118,3,IF(D198=X118,4,5)))))</f>
        <v>5</v>
      </c>
      <c r="AA118" s="35">
        <f t="shared" ref="AA118:AA177" si="95">AA117+1</f>
        <v>3</v>
      </c>
      <c r="AB118" s="35">
        <f>HLOOKUP(AB$116,Kostengegevens!$AK$74:$BN$135,Stappen!$AA118,FALSE)</f>
        <v>469.08323620026931</v>
      </c>
      <c r="AC118" s="42">
        <f>HLOOKUP(AC$116,Kostengegevens!$AK$74:$AT$135,Stappen!$AA118,FALSE)+AC65</f>
        <v>46.163429999956861</v>
      </c>
      <c r="AD118" s="42">
        <f>HLOOKUP(AD$116,Kostengegevens!$AK$74:$AT$135,Stappen!$AA118,FALSE)+AD65</f>
        <v>72.051329999929294</v>
      </c>
      <c r="AE118" s="35">
        <f>HLOOKUP(AE$116,Kostengegevens!$AK$74:$BN$135,Stappen!$AA118,FALSE)</f>
        <v>89.094822362023422</v>
      </c>
      <c r="AF118" s="3"/>
      <c r="AG118" s="35">
        <f>HLOOKUP(AG$116+10,Kostengegevens!$AK$74:$BN$135,Stappen!$AA118,FALSE)</f>
        <v>186.54132299998309</v>
      </c>
      <c r="AH118" s="42">
        <f>HLOOKUP(AH$116+10,Kostengegevens!$AK$74:$BN$135,Stappen!$AA118,FALSE)+AH65</f>
        <v>23.257649999985009</v>
      </c>
      <c r="AI118" s="42">
        <f>HLOOKUP(AI$116+10,Kostengegevens!$AK$74:$BN$135,Stappen!$AA118,FALSE)+AI65</f>
        <v>37.112000000081025</v>
      </c>
      <c r="AJ118" s="35">
        <f>HLOOKUP(AJ$116+10,Kostengegevens!$AK$74:$BN$135,Stappen!$AA118,FALSE)</f>
        <v>42.663223229901639</v>
      </c>
      <c r="AK118" s="3"/>
      <c r="AL118" s="35">
        <f>HLOOKUP(AL$116+20,Kostengegevens!$AK$74:$BN$135,Stappen!$AA118,FALSE)</f>
        <v>748.88833219965454</v>
      </c>
      <c r="AM118" s="42">
        <f>HLOOKUP(AM$116+20,Kostengegevens!$AK$74:$BN$135,Stappen!$AA118,FALSE)+AM65</f>
        <v>83.260430000023916</v>
      </c>
      <c r="AN118" s="42">
        <f>HLOOKUP(AN$116+20,Kostengegevens!$AK$74:$BN$135,Stappen!$AA118,FALSE)+AN65</f>
        <v>138.45562999998219</v>
      </c>
      <c r="AO118" s="35">
        <f>HLOOKUP(AO$116+20,Kostengegevens!$AK$74:$BN$135,Stappen!$AA118,FALSE)</f>
        <v>163.53765332210693</v>
      </c>
      <c r="AP118" s="3"/>
      <c r="AQ118" s="35">
        <f>HLOOKUP(AQ$116+30,Kostengegevens!$AK$74:$BN$135,Stappen!$AA118,FALSE)</f>
        <v>4941.9727330040187</v>
      </c>
      <c r="AR118" s="42">
        <f>HLOOKUP(AR$116+30,Kostengegevens!$AK$74:$BN$135,Stappen!$AA118,FALSE)+AR65</f>
        <v>970.6404000017792</v>
      </c>
      <c r="AS118" s="42">
        <f>HLOOKUP(AS$116+30,Kostengegevens!$AK$74:$BN$135,Stappen!$AA118,FALSE)+AS65</f>
        <v>1448.3898499999195</v>
      </c>
      <c r="AT118" s="35">
        <f>HLOOKUP(AT$116+30,Kostengegevens!$AK$74:$BN$135,Stappen!$AA118,FALSE)</f>
        <v>1417.1676473309658</v>
      </c>
      <c r="AU118" s="3"/>
      <c r="AV118" s="35">
        <f>HLOOKUP(AV$116+40,Kostengegevens!$AK$74:$BN$135,Stappen!$AA118,FALSE)</f>
        <v>286.88737319994834</v>
      </c>
      <c r="AW118" s="42">
        <f>HLOOKUP(AW$116+40,Kostengegevens!$AK$74:$BN$135,Stappen!$AA118,FALSE)+AW65</f>
        <v>23.031679999985499</v>
      </c>
      <c r="AX118" s="42">
        <f>HLOOKUP(AX$116+40,Kostengegevens!$AK$74:$BN$135,Stappen!$AA118,FALSE)+AX65</f>
        <v>33.250079999997979</v>
      </c>
      <c r="AY118" s="35">
        <f>HLOOKUP(AY$116+40,Kostengegevens!$AK$74:$BN$135,Stappen!$AA118,FALSE)</f>
        <v>32.345563732009907</v>
      </c>
      <c r="AZ118" s="3"/>
      <c r="BA118" s="35">
        <f>HLOOKUP(BA$116+50,Kostengegevens!$AK$74:$BN$135,Stappen!$AA118,FALSE)</f>
        <v>244.30912300004275</v>
      </c>
      <c r="BB118" s="42">
        <f>HLOOKUP(BB$116+50,Kostengegevens!$AK$74:$BN$135,Stappen!$AA118,FALSE)+BB65</f>
        <v>18.609249999979511</v>
      </c>
      <c r="BC118" s="42">
        <f>HLOOKUP(BC$116+50,Kostengegevens!$AK$74:$BN$135,Stappen!$AA118,FALSE)+BC65</f>
        <v>31.146349999995437</v>
      </c>
      <c r="BD118" s="35">
        <f>HLOOKUP(BD$116+50,Kostengegevens!$AK$74:$BN$135,Stappen!$AA118,FALSE)</f>
        <v>37.961701229999598</v>
      </c>
      <c r="BE118" s="3"/>
      <c r="BG118" s="2">
        <v>2</v>
      </c>
      <c r="BH118" s="57">
        <v>3</v>
      </c>
      <c r="BI118" s="35">
        <f>BJ118/BJ$25*BI$25</f>
        <v>1.4018691588785046</v>
      </c>
      <c r="BJ118" s="56">
        <f>HLOOKUP(BJ$116,$BL$116:$BP$178,BH118,FALSE)*VLOOKUP($BG118,$BH$24:$BJ$46,3,FALSE)</f>
        <v>1.4018691588785046</v>
      </c>
      <c r="BK118" s="47" t="s">
        <v>22</v>
      </c>
      <c r="BL118" s="102">
        <f>0/309</f>
        <v>0</v>
      </c>
      <c r="BM118" s="102">
        <f>12/516</f>
        <v>2.3255813953488372E-2</v>
      </c>
      <c r="BN118" s="102">
        <f>12/220</f>
        <v>5.4545454545454543E-2</v>
      </c>
      <c r="BO118" s="102">
        <f>9/580</f>
        <v>1.5517241379310345E-2</v>
      </c>
      <c r="BP118" s="102">
        <f>0/309</f>
        <v>0</v>
      </c>
      <c r="BR118" s="2">
        <v>5</v>
      </c>
      <c r="BS118" s="2">
        <v>1</v>
      </c>
      <c r="BT118" s="2">
        <v>1</v>
      </c>
      <c r="BU118" s="2">
        <v>1</v>
      </c>
      <c r="CA118" s="503"/>
      <c r="CB118" s="502"/>
      <c r="CC118" s="426">
        <f t="shared" ref="CC118:CC120" si="96">EF118</f>
        <v>0</v>
      </c>
      <c r="CD118" s="429">
        <f t="shared" ref="CD118:CD120" si="97">EG118</f>
        <v>0</v>
      </c>
      <c r="CE118" s="459" t="s">
        <v>22</v>
      </c>
      <c r="CF118" s="460"/>
      <c r="CG118" s="503"/>
      <c r="CH118" s="502"/>
      <c r="CI118" s="426">
        <f t="shared" ref="CI118:CI120" si="98">EL118</f>
        <v>0</v>
      </c>
      <c r="CJ118" s="429">
        <f t="shared" ref="CJ118:CJ120" si="99">EM118</f>
        <v>0</v>
      </c>
      <c r="CK118" s="459" t="s">
        <v>22</v>
      </c>
      <c r="CL118" s="460"/>
      <c r="CM118" s="503"/>
      <c r="CN118" s="502"/>
      <c r="CO118" s="426">
        <f t="shared" ref="CO118:CO120" si="100">ER118</f>
        <v>0</v>
      </c>
      <c r="CP118" s="429">
        <f t="shared" ref="CP118:CP120" si="101">ES118</f>
        <v>0</v>
      </c>
      <c r="CQ118" s="459" t="s">
        <v>22</v>
      </c>
      <c r="CR118" s="460"/>
      <c r="CS118" s="503"/>
      <c r="CT118" s="502"/>
      <c r="CU118" s="426">
        <f t="shared" ref="CU118:CU120" si="102">EX118</f>
        <v>0</v>
      </c>
      <c r="CV118" s="429">
        <f t="shared" ref="CV118:CV120" si="103">EY118</f>
        <v>0</v>
      </c>
      <c r="CW118" s="459" t="s">
        <v>22</v>
      </c>
      <c r="CX118" s="460"/>
      <c r="CY118" s="503"/>
      <c r="CZ118" s="502"/>
      <c r="DA118" s="426"/>
      <c r="DB118" s="429"/>
      <c r="DC118" s="459"/>
      <c r="DD118" s="460"/>
    </row>
    <row r="119" spans="1:108" x14ac:dyDescent="0.2">
      <c r="A119" s="49"/>
      <c r="B119" s="33">
        <v>16</v>
      </c>
      <c r="C119" s="212" t="s">
        <v>293</v>
      </c>
      <c r="D119" s="503"/>
      <c r="E119" s="502"/>
      <c r="F119" s="426">
        <f t="shared" si="88"/>
        <v>60.280373831775698</v>
      </c>
      <c r="G119" s="429">
        <f t="shared" si="89"/>
        <v>60.280373831775698</v>
      </c>
      <c r="H119" s="459" t="s">
        <v>22</v>
      </c>
      <c r="I119" s="460"/>
      <c r="J119" s="156">
        <f>HLOOKUP($Z119,$AB$116:$AF$183,$AA119,FALSE)*$F119</f>
        <v>0</v>
      </c>
      <c r="K119" s="9">
        <f t="shared" si="90"/>
        <v>0</v>
      </c>
      <c r="L119" s="27">
        <f t="shared" si="91"/>
        <v>0</v>
      </c>
      <c r="M119" s="12">
        <f t="shared" si="92"/>
        <v>0</v>
      </c>
      <c r="N119" s="9">
        <f t="shared" si="93"/>
        <v>0</v>
      </c>
      <c r="O119" s="27">
        <f t="shared" si="94"/>
        <v>0</v>
      </c>
      <c r="T119" s="91" t="str">
        <f>CONCATENATE("ref: ",Referentieproject!T119)</f>
        <v>ref: 3 betonbalken voor paalf.(&gt;3 bouwlagen)</v>
      </c>
      <c r="U119" s="263" t="s">
        <v>66</v>
      </c>
      <c r="V119" s="263" t="s">
        <v>74</v>
      </c>
      <c r="W119" s="263" t="s">
        <v>348</v>
      </c>
      <c r="X119" s="263" t="s">
        <v>84</v>
      </c>
      <c r="Y119" s="263" t="s">
        <v>62</v>
      </c>
      <c r="Z119" s="2">
        <f>IF(D199=T119,Referentieproject!Z119,IF(D199=U119,1,IF(D199=V119,2,IF(D199=W119,3,IF(D199=X119,4,5)))))</f>
        <v>5</v>
      </c>
      <c r="AA119" s="35">
        <f t="shared" si="95"/>
        <v>4</v>
      </c>
      <c r="AB119" s="35">
        <f>HLOOKUP(AB$116,Kostengegevens!$AK$74:$BN$135,Stappen!$AA119,FALSE)</f>
        <v>54.697388283290366</v>
      </c>
      <c r="AC119" s="35">
        <f>HLOOKUP(AC$116,Kostengegevens!$AK$74:$BN$135,Stappen!$AA119,FALSE)</f>
        <v>69.808146568136905</v>
      </c>
      <c r="AD119" s="35">
        <f>HLOOKUP(AD$116,Kostengegevens!$AK$74:$BN$135,Stappen!$AA119,FALSE)</f>
        <v>95.092904884295166</v>
      </c>
      <c r="AE119" s="35">
        <f>HLOOKUP(AE$116,Kostengegevens!$AK$74:$BN$135,Stappen!$AA119,FALSE)</f>
        <v>0</v>
      </c>
      <c r="AF119" s="3"/>
      <c r="AG119" s="35">
        <f>HLOOKUP(AG$116+10,Kostengegevens!$AK$74:$BN$135,Stappen!$AA119,FALSE)</f>
        <v>16.803137284535012</v>
      </c>
      <c r="AH119" s="35">
        <f>HLOOKUP(AH$116+10,Kostengegevens!$AK$74:$BN$135,Stappen!$AA119,FALSE)</f>
        <v>22.16167848294161</v>
      </c>
      <c r="AI119" s="35">
        <f>HLOOKUP(AI$116+10,Kostengegevens!$AK$74:$BN$135,Stappen!$AA119,FALSE)</f>
        <v>36.006349940238707</v>
      </c>
      <c r="AJ119" s="35">
        <f>HLOOKUP(AJ$116+10,Kostengegevens!$AK$74:$BN$135,Stappen!$AA119,FALSE)</f>
        <v>0</v>
      </c>
      <c r="AK119" s="3"/>
      <c r="AL119" s="35">
        <f>HLOOKUP(AL$116+20,Kostengegevens!$AK$74:$BN$135,Stappen!$AA119,FALSE)</f>
        <v>67.85145895142125</v>
      </c>
      <c r="AM119" s="35">
        <f>HLOOKUP(AM$116+20,Kostengegevens!$AK$74:$BN$135,Stappen!$AA119,FALSE)</f>
        <v>87.064311784041763</v>
      </c>
      <c r="AN119" s="35">
        <f>HLOOKUP(AN$116+20,Kostengegevens!$AK$74:$BN$135,Stappen!$AA119,FALSE)</f>
        <v>139.57653049119608</v>
      </c>
      <c r="AO119" s="35">
        <f>HLOOKUP(AO$116+20,Kostengegevens!$AK$74:$BN$135,Stappen!$AA119,FALSE)</f>
        <v>0</v>
      </c>
      <c r="AP119" s="3"/>
      <c r="AQ119" s="35">
        <f>HLOOKUP(AQ$116+30,Kostengegevens!$AK$74:$BN$135,Stappen!$AA119,FALSE)</f>
        <v>518.99042017542888</v>
      </c>
      <c r="AR119" s="35">
        <f>HLOOKUP(AR$116+30,Kostengegevens!$AK$74:$BN$135,Stappen!$AA119,FALSE)</f>
        <v>908.03074873270953</v>
      </c>
      <c r="AS119" s="35">
        <f>HLOOKUP(AS$116+30,Kostengegevens!$AK$74:$BN$135,Stappen!$AA119,FALSE)</f>
        <v>1145.126562077493</v>
      </c>
      <c r="AT119" s="35">
        <f>HLOOKUP(AT$116+30,Kostengegevens!$AK$74:$BN$135,Stappen!$AA119,FALSE)</f>
        <v>0</v>
      </c>
      <c r="AU119" s="3"/>
      <c r="AV119" s="35">
        <f>HLOOKUP(AV$116+40,Kostengegevens!$AK$74:$BN$135,Stappen!$AA119,FALSE)</f>
        <v>22.124467176471342</v>
      </c>
      <c r="AW119" s="35">
        <f>HLOOKUP(AW$116+40,Kostengegevens!$AK$74:$BN$135,Stappen!$AA119,FALSE)</f>
        <v>24.441704818184895</v>
      </c>
      <c r="AX119" s="35">
        <f>HLOOKUP(AX$116+40,Kostengegevens!$AK$74:$BN$135,Stappen!$AA119,FALSE)</f>
        <v>48.665483124194722</v>
      </c>
      <c r="AY119" s="35">
        <f>HLOOKUP(AY$116+40,Kostengegevens!$AK$74:$BN$135,Stappen!$AA119,FALSE)</f>
        <v>0</v>
      </c>
      <c r="AZ119" s="3"/>
      <c r="BA119" s="35">
        <f>HLOOKUP(BA$116+50,Kostengegevens!$AK$74:$BN$135,Stappen!$AA119,FALSE)</f>
        <v>11.343140881808608</v>
      </c>
      <c r="BB119" s="35">
        <f>HLOOKUP(BB$116+50,Kostengegevens!$AK$74:$BN$135,Stappen!$AA119,FALSE)</f>
        <v>15.93889475000589</v>
      </c>
      <c r="BC119" s="35">
        <f>HLOOKUP(BC$116+50,Kostengegevens!$AK$74:$BN$135,Stappen!$AA119,FALSE)</f>
        <v>22.63417386705656</v>
      </c>
      <c r="BD119" s="35">
        <f>HLOOKUP(BD$116+50,Kostengegevens!$AK$74:$BN$135,Stappen!$AA119,FALSE)</f>
        <v>0</v>
      </c>
      <c r="BE119" s="3"/>
      <c r="BG119" s="2">
        <v>2</v>
      </c>
      <c r="BH119" s="57">
        <v>4</v>
      </c>
      <c r="BI119" s="35">
        <f>BJ119/BJ$25*BI$25</f>
        <v>60.280373831775698</v>
      </c>
      <c r="BJ119" s="56">
        <f>HLOOKUP(BJ$116,$BL$116:$BP$178,BH119,FALSE)*VLOOKUP($BG119,$BH$24:$BJ$46,3,FALSE)</f>
        <v>60.280373831775698</v>
      </c>
      <c r="BK119" s="47" t="s">
        <v>22</v>
      </c>
      <c r="BL119" s="102">
        <f>309/309</f>
        <v>1</v>
      </c>
      <c r="BM119" s="102">
        <f>516/516</f>
        <v>1</v>
      </c>
      <c r="BN119" s="102">
        <f t="shared" ref="BN119:BP120" si="104">309/309</f>
        <v>1</v>
      </c>
      <c r="BO119" s="102">
        <f t="shared" ref="BO119:BO120" si="105">580/580</f>
        <v>1</v>
      </c>
      <c r="BP119" s="102">
        <f t="shared" si="104"/>
        <v>1</v>
      </c>
      <c r="BR119" s="2">
        <v>2</v>
      </c>
      <c r="BS119" s="2">
        <v>3</v>
      </c>
      <c r="BT119" s="2">
        <v>2</v>
      </c>
      <c r="BU119" s="2">
        <v>2</v>
      </c>
      <c r="CA119" s="503"/>
      <c r="CB119" s="502"/>
      <c r="CC119" s="426">
        <f t="shared" si="96"/>
        <v>0</v>
      </c>
      <c r="CD119" s="429">
        <f t="shared" si="97"/>
        <v>0</v>
      </c>
      <c r="CE119" s="459" t="s">
        <v>22</v>
      </c>
      <c r="CF119" s="460"/>
      <c r="CG119" s="503"/>
      <c r="CH119" s="502"/>
      <c r="CI119" s="426">
        <f t="shared" si="98"/>
        <v>0</v>
      </c>
      <c r="CJ119" s="429">
        <f t="shared" si="99"/>
        <v>0</v>
      </c>
      <c r="CK119" s="459" t="s">
        <v>22</v>
      </c>
      <c r="CL119" s="460"/>
      <c r="CM119" s="503"/>
      <c r="CN119" s="502"/>
      <c r="CO119" s="426">
        <f t="shared" si="100"/>
        <v>0</v>
      </c>
      <c r="CP119" s="429">
        <f t="shared" si="101"/>
        <v>0</v>
      </c>
      <c r="CQ119" s="459" t="s">
        <v>22</v>
      </c>
      <c r="CR119" s="460"/>
      <c r="CS119" s="503"/>
      <c r="CT119" s="502"/>
      <c r="CU119" s="426">
        <f t="shared" si="102"/>
        <v>0</v>
      </c>
      <c r="CV119" s="429">
        <f t="shared" si="103"/>
        <v>0</v>
      </c>
      <c r="CW119" s="459" t="s">
        <v>22</v>
      </c>
      <c r="CX119" s="460"/>
      <c r="CY119" s="503"/>
      <c r="CZ119" s="502"/>
      <c r="DA119" s="426"/>
      <c r="DB119" s="429"/>
      <c r="DC119" s="459"/>
      <c r="DD119" s="460"/>
    </row>
    <row r="120" spans="1:108" x14ac:dyDescent="0.2">
      <c r="A120" s="49"/>
      <c r="B120" s="33">
        <v>17</v>
      </c>
      <c r="C120" s="212" t="s">
        <v>294</v>
      </c>
      <c r="D120" s="503"/>
      <c r="E120" s="502"/>
      <c r="F120" s="426">
        <f t="shared" si="88"/>
        <v>60.280373831775698</v>
      </c>
      <c r="G120" s="429">
        <f t="shared" si="89"/>
        <v>60.280373831775698</v>
      </c>
      <c r="H120" s="459" t="s">
        <v>22</v>
      </c>
      <c r="I120" s="460"/>
      <c r="J120" s="156">
        <f>HLOOKUP($Z120,$AB$116:$AF$183,$AA120,FALSE)*$F120</f>
        <v>3224.4182538948958</v>
      </c>
      <c r="K120" s="9">
        <f t="shared" si="90"/>
        <v>885.76918488855972</v>
      </c>
      <c r="L120" s="27">
        <f t="shared" si="91"/>
        <v>3706.0653828912514</v>
      </c>
      <c r="M120" s="12">
        <f t="shared" si="92"/>
        <v>27315.666116555036</v>
      </c>
      <c r="N120" s="9">
        <f t="shared" si="93"/>
        <v>500.81964320942552</v>
      </c>
      <c r="O120" s="27">
        <f t="shared" si="94"/>
        <v>1081.372634401918</v>
      </c>
      <c r="T120" s="91" t="str">
        <f>CONCATENATE("ref: ",Referentieproject!T120)</f>
        <v>ref: 2 prefab betonpalen (lengte 16m)</v>
      </c>
      <c r="U120" s="263" t="s">
        <v>138</v>
      </c>
      <c r="V120" s="263" t="s">
        <v>140</v>
      </c>
      <c r="W120" s="263" t="s">
        <v>141</v>
      </c>
      <c r="X120" s="263"/>
      <c r="Y120" s="263" t="s">
        <v>62</v>
      </c>
      <c r="Z120" s="2">
        <f>IF(D200=T120,Referentieproject!Z120,IF(D200=U120,1,IF(D200=V120,2,IF(D200=W120,3,IF(D200=X120,4,5)))))</f>
        <v>2</v>
      </c>
      <c r="AA120" s="35">
        <f t="shared" si="95"/>
        <v>5</v>
      </c>
      <c r="AB120" s="35">
        <f>HLOOKUP(AB$116,Kostengegevens!$AK$74:$BN$135,Stappen!$AA120,FALSE)</f>
        <v>18.282514395420208</v>
      </c>
      <c r="AC120" s="35">
        <f>HLOOKUP(AC$116,Kostengegevens!$AK$74:$BN$135,Stappen!$AA120,FALSE)</f>
        <v>53.490349328178894</v>
      </c>
      <c r="AD120" s="35">
        <f>HLOOKUP(AD$116,Kostengegevens!$AK$74:$BN$135,Stappen!$AA120,FALSE)</f>
        <v>146.2296257197724</v>
      </c>
      <c r="AE120" s="35">
        <f>HLOOKUP(AE$116,Kostengegevens!$AK$74:$BN$135,Stappen!$AA120,FALSE)</f>
        <v>0</v>
      </c>
      <c r="AF120" s="150"/>
      <c r="AG120" s="35">
        <f>HLOOKUP(AG$116+10,Kostengegevens!$AK$74:$BN$135,Stappen!$AA120,FALSE)</f>
        <v>12.168867562377329</v>
      </c>
      <c r="AH120" s="35">
        <f>HLOOKUP(AH$116+10,Kostengegevens!$AK$74:$BN$135,Stappen!$AA120,FALSE)</f>
        <v>14.694155470244326</v>
      </c>
      <c r="AI120" s="35">
        <f>HLOOKUP(AI$116+10,Kostengegevens!$AK$74:$BN$135,Stappen!$AA120,FALSE)</f>
        <v>84.36346449136623</v>
      </c>
      <c r="AJ120" s="35">
        <f>HLOOKUP(AJ$116+10,Kostengegevens!$AK$74:$BN$135,Stappen!$AA120,FALSE)</f>
        <v>0</v>
      </c>
      <c r="AK120" s="3"/>
      <c r="AL120" s="35">
        <f>HLOOKUP(AL$116+20,Kostengegevens!$AK$74:$BN$135,Stappen!$AA120,FALSE)</f>
        <v>42.349366602675332</v>
      </c>
      <c r="AM120" s="35">
        <f>HLOOKUP(AM$116+20,Kostengegevens!$AK$74:$BN$135,Stappen!$AA120,FALSE)</f>
        <v>61.480464491374249</v>
      </c>
      <c r="AN120" s="35">
        <f>HLOOKUP(AN$116+20,Kostengegevens!$AK$74:$BN$135,Stappen!$AA120,FALSE)</f>
        <v>246.61984644913838</v>
      </c>
      <c r="AO120" s="35">
        <f>HLOOKUP(AO$116+20,Kostengegevens!$AK$74:$BN$135,Stappen!$AA120,FALSE)</f>
        <v>0</v>
      </c>
      <c r="AP120" s="3"/>
      <c r="AQ120" s="35">
        <f>HLOOKUP(AQ$116+30,Kostengegevens!$AK$74:$BN$135,Stappen!$AA120,FALSE)</f>
        <v>430.34356046060839</v>
      </c>
      <c r="AR120" s="35">
        <f>HLOOKUP(AR$116+30,Kostengegevens!$AK$74:$BN$135,Stappen!$AA120,FALSE)</f>
        <v>453.1436084451766</v>
      </c>
      <c r="AS120" s="35">
        <f>HLOOKUP(AS$116+30,Kostengegevens!$AK$74:$BN$135,Stappen!$AA120,FALSE)</f>
        <v>3402.9872552783208</v>
      </c>
      <c r="AT120" s="35">
        <f>HLOOKUP(AT$116+30,Kostengegevens!$AK$74:$BN$135,Stappen!$AA120,FALSE)</f>
        <v>0</v>
      </c>
      <c r="AU120" s="3"/>
      <c r="AV120" s="35">
        <f>HLOOKUP(AV$116+40,Kostengegevens!$AK$74:$BN$135,Stappen!$AA120,FALSE)</f>
        <v>3.5422552783098809</v>
      </c>
      <c r="AW120" s="35">
        <f>HLOOKUP(AW$116+40,Kostengegevens!$AK$74:$BN$135,Stappen!$AA120,FALSE)</f>
        <v>8.3081708253346562</v>
      </c>
      <c r="AX120" s="35">
        <f>HLOOKUP(AX$116+40,Kostengegevens!$AK$74:$BN$135,Stappen!$AA120,FALSE)</f>
        <v>25.095163147803135</v>
      </c>
      <c r="AY120" s="35">
        <f>HLOOKUP(AY$116+40,Kostengegevens!$AK$74:$BN$135,Stappen!$AA120,FALSE)</f>
        <v>0</v>
      </c>
      <c r="AZ120" s="3"/>
      <c r="BA120" s="35">
        <f>HLOOKUP(BA$116+50,Kostengegevens!$AK$74:$BN$135,Stappen!$AA120,FALSE)</f>
        <v>9.0388867562393216</v>
      </c>
      <c r="BB120" s="35">
        <f>HLOOKUP(BB$116+50,Kostengegevens!$AK$74:$BN$135,Stappen!$AA120,FALSE)</f>
        <v>17.939049904031819</v>
      </c>
      <c r="BC120" s="35">
        <f>HLOOKUP(BC$116+50,Kostengegevens!$AK$74:$BN$135,Stappen!$AA120,FALSE)</f>
        <v>29.692571976969532</v>
      </c>
      <c r="BD120" s="35">
        <f>HLOOKUP(BD$116+50,Kostengegevens!$AK$74:$BN$135,Stappen!$AA120,FALSE)</f>
        <v>0</v>
      </c>
      <c r="BE120" s="3"/>
      <c r="BG120" s="2">
        <v>2</v>
      </c>
      <c r="BH120" s="57">
        <v>5</v>
      </c>
      <c r="BI120" s="35">
        <f>BJ120/BJ$25*BI$25</f>
        <v>60.280373831775698</v>
      </c>
      <c r="BJ120" s="56">
        <f>HLOOKUP(BJ$116,$BL$116:$BP$178,BH120,FALSE)*VLOOKUP($BG120,$BH$24:$BJ$46,3,FALSE)</f>
        <v>60.280373831775698</v>
      </c>
      <c r="BK120" s="47" t="s">
        <v>22</v>
      </c>
      <c r="BL120" s="102">
        <f>309/309</f>
        <v>1</v>
      </c>
      <c r="BM120" s="102">
        <f>516/516</f>
        <v>1</v>
      </c>
      <c r="BN120" s="102">
        <f t="shared" si="104"/>
        <v>1</v>
      </c>
      <c r="BO120" s="102">
        <f t="shared" si="105"/>
        <v>1</v>
      </c>
      <c r="BP120" s="102">
        <f t="shared" si="104"/>
        <v>1</v>
      </c>
      <c r="BR120" s="2">
        <v>2</v>
      </c>
      <c r="BS120" s="2">
        <v>2</v>
      </c>
      <c r="BT120" s="2">
        <v>1</v>
      </c>
      <c r="BU120" s="2">
        <v>1</v>
      </c>
      <c r="CA120" s="503"/>
      <c r="CB120" s="502"/>
      <c r="CC120" s="426">
        <f t="shared" si="96"/>
        <v>0</v>
      </c>
      <c r="CD120" s="429">
        <f t="shared" si="97"/>
        <v>0</v>
      </c>
      <c r="CE120" s="459" t="s">
        <v>22</v>
      </c>
      <c r="CF120" s="460"/>
      <c r="CG120" s="503"/>
      <c r="CH120" s="502"/>
      <c r="CI120" s="426">
        <f t="shared" si="98"/>
        <v>0</v>
      </c>
      <c r="CJ120" s="429">
        <f t="shared" si="99"/>
        <v>0</v>
      </c>
      <c r="CK120" s="459" t="s">
        <v>22</v>
      </c>
      <c r="CL120" s="460"/>
      <c r="CM120" s="503"/>
      <c r="CN120" s="502"/>
      <c r="CO120" s="426">
        <f t="shared" si="100"/>
        <v>0</v>
      </c>
      <c r="CP120" s="429">
        <f t="shared" si="101"/>
        <v>0</v>
      </c>
      <c r="CQ120" s="459" t="s">
        <v>22</v>
      </c>
      <c r="CR120" s="460"/>
      <c r="CS120" s="503"/>
      <c r="CT120" s="502"/>
      <c r="CU120" s="426">
        <f t="shared" si="102"/>
        <v>0</v>
      </c>
      <c r="CV120" s="429">
        <f t="shared" si="103"/>
        <v>0</v>
      </c>
      <c r="CW120" s="459" t="s">
        <v>22</v>
      </c>
      <c r="CX120" s="460"/>
      <c r="CY120" s="503"/>
      <c r="CZ120" s="502"/>
      <c r="DA120" s="426"/>
      <c r="DB120" s="429"/>
      <c r="DC120" s="459"/>
      <c r="DD120" s="460"/>
    </row>
    <row r="121" spans="1:108" x14ac:dyDescent="0.2">
      <c r="A121" s="1" t="s">
        <v>164</v>
      </c>
      <c r="C121" s="211" t="s">
        <v>52</v>
      </c>
      <c r="D121" s="501"/>
      <c r="E121" s="502"/>
      <c r="F121" s="504"/>
      <c r="G121" s="505"/>
      <c r="H121" s="459"/>
      <c r="I121" s="460"/>
      <c r="J121" s="156"/>
      <c r="K121" s="9"/>
      <c r="L121" s="27"/>
      <c r="M121" s="12"/>
      <c r="N121" s="9"/>
      <c r="O121" s="27"/>
      <c r="P121" s="84"/>
      <c r="T121" s="91"/>
      <c r="U121" s="263"/>
      <c r="V121" s="263"/>
      <c r="W121" s="263"/>
      <c r="X121" s="263"/>
      <c r="Y121" s="263"/>
      <c r="AA121" s="35">
        <f t="shared" si="95"/>
        <v>6</v>
      </c>
      <c r="AB121" s="35">
        <f>HLOOKUP(AB$116,Kostengegevens!$AK$74:$BN$135,Stappen!$AA121,FALSE)</f>
        <v>0</v>
      </c>
      <c r="AC121" s="35">
        <f>HLOOKUP(AC$116,Kostengegevens!$AK$74:$BN$135,Stappen!$AA121,FALSE)</f>
        <v>0</v>
      </c>
      <c r="AD121" s="35">
        <f>HLOOKUP(AD$116,Kostengegevens!$AK$74:$BN$135,Stappen!$AA121,FALSE)</f>
        <v>0</v>
      </c>
      <c r="AE121" s="35">
        <f>HLOOKUP(AE$116,Kostengegevens!$AK$74:$BN$135,Stappen!$AA121,FALSE)</f>
        <v>0</v>
      </c>
      <c r="AF121" s="150"/>
      <c r="AG121" s="35">
        <f>HLOOKUP(AG$116+10,Kostengegevens!$AK$74:$BN$135,Stappen!$AA121,FALSE)</f>
        <v>0</v>
      </c>
      <c r="AH121" s="35">
        <f>HLOOKUP(AH$116+10,Kostengegevens!$AK$74:$BN$135,Stappen!$AA121,FALSE)</f>
        <v>0</v>
      </c>
      <c r="AI121" s="35">
        <f>HLOOKUP(AI$116+10,Kostengegevens!$AK$74:$BN$135,Stappen!$AA121,FALSE)</f>
        <v>0</v>
      </c>
      <c r="AJ121" s="35">
        <f>HLOOKUP(AJ$116+10,Kostengegevens!$AK$74:$BN$135,Stappen!$AA121,FALSE)</f>
        <v>0</v>
      </c>
      <c r="AK121" s="3"/>
      <c r="AL121" s="35">
        <f>HLOOKUP(AL$116+20,Kostengegevens!$AK$74:$BN$135,Stappen!$AA121,FALSE)</f>
        <v>0</v>
      </c>
      <c r="AM121" s="35">
        <f>HLOOKUP(AM$116+20,Kostengegevens!$AK$74:$BN$135,Stappen!$AA121,FALSE)</f>
        <v>0</v>
      </c>
      <c r="AN121" s="35">
        <f>HLOOKUP(AN$116+20,Kostengegevens!$AK$74:$BN$135,Stappen!$AA121,FALSE)</f>
        <v>0</v>
      </c>
      <c r="AO121" s="35">
        <f>HLOOKUP(AO$116+20,Kostengegevens!$AK$74:$BN$135,Stappen!$AA121,FALSE)</f>
        <v>0</v>
      </c>
      <c r="AP121" s="3"/>
      <c r="AQ121" s="35">
        <f>HLOOKUP(AQ$116+30,Kostengegevens!$AK$74:$BN$135,Stappen!$AA121,FALSE)</f>
        <v>0</v>
      </c>
      <c r="AR121" s="35">
        <f>HLOOKUP(AR$116+30,Kostengegevens!$AK$74:$BN$135,Stappen!$AA121,FALSE)</f>
        <v>0</v>
      </c>
      <c r="AS121" s="35">
        <f>HLOOKUP(AS$116+30,Kostengegevens!$AK$74:$BN$135,Stappen!$AA121,FALSE)</f>
        <v>0</v>
      </c>
      <c r="AT121" s="35">
        <f>HLOOKUP(AT$116+30,Kostengegevens!$AK$74:$BN$135,Stappen!$AA121,FALSE)</f>
        <v>0</v>
      </c>
      <c r="AU121" s="3"/>
      <c r="AV121" s="35">
        <f>HLOOKUP(AV$116+40,Kostengegevens!$AK$74:$BN$135,Stappen!$AA121,FALSE)</f>
        <v>0</v>
      </c>
      <c r="AW121" s="35">
        <f>HLOOKUP(AW$116+40,Kostengegevens!$AK$74:$BN$135,Stappen!$AA121,FALSE)</f>
        <v>0</v>
      </c>
      <c r="AX121" s="35">
        <f>HLOOKUP(AX$116+40,Kostengegevens!$AK$74:$BN$135,Stappen!$AA121,FALSE)</f>
        <v>0</v>
      </c>
      <c r="AY121" s="35">
        <f>HLOOKUP(AY$116+40,Kostengegevens!$AK$74:$BN$135,Stappen!$AA121,FALSE)</f>
        <v>0</v>
      </c>
      <c r="AZ121" s="3"/>
      <c r="BA121" s="35">
        <f>HLOOKUP(BA$116+50,Kostengegevens!$AK$74:$BN$135,Stappen!$AA121,FALSE)</f>
        <v>0</v>
      </c>
      <c r="BB121" s="35">
        <f>HLOOKUP(BB$116+50,Kostengegevens!$AK$74:$BN$135,Stappen!$AA121,FALSE)</f>
        <v>0</v>
      </c>
      <c r="BC121" s="35">
        <f>HLOOKUP(BC$116+50,Kostengegevens!$AK$74:$BN$135,Stappen!$AA121,FALSE)</f>
        <v>0</v>
      </c>
      <c r="BD121" s="35">
        <f>HLOOKUP(BD$116+50,Kostengegevens!$AK$74:$BN$135,Stappen!$AA121,FALSE)</f>
        <v>0</v>
      </c>
      <c r="BE121" s="3"/>
      <c r="BH121" s="57">
        <v>6</v>
      </c>
      <c r="BI121" s="53"/>
      <c r="BJ121" s="56"/>
      <c r="BK121" s="47"/>
      <c r="BL121" s="102"/>
      <c r="BM121" s="102"/>
      <c r="BN121" s="102"/>
      <c r="BO121" s="102"/>
      <c r="BP121" s="102"/>
      <c r="CA121" s="501"/>
      <c r="CB121" s="502"/>
      <c r="CC121" s="504"/>
      <c r="CD121" s="505"/>
      <c r="CE121" s="459"/>
      <c r="CF121" s="460"/>
      <c r="CG121" s="501"/>
      <c r="CH121" s="502"/>
      <c r="CI121" s="504"/>
      <c r="CJ121" s="505"/>
      <c r="CK121" s="459"/>
      <c r="CL121" s="460"/>
      <c r="CM121" s="501"/>
      <c r="CN121" s="502"/>
      <c r="CO121" s="504"/>
      <c r="CP121" s="505"/>
      <c r="CQ121" s="459"/>
      <c r="CR121" s="460"/>
      <c r="CS121" s="501"/>
      <c r="CT121" s="502"/>
      <c r="CU121" s="504"/>
      <c r="CV121" s="505"/>
      <c r="CW121" s="459"/>
      <c r="CX121" s="460"/>
      <c r="CY121" s="501"/>
      <c r="CZ121" s="502"/>
      <c r="DA121" s="504"/>
      <c r="DB121" s="505"/>
      <c r="DC121" s="459"/>
      <c r="DD121" s="460"/>
    </row>
    <row r="122" spans="1:108" x14ac:dyDescent="0.2">
      <c r="A122" s="49"/>
      <c r="B122" s="33">
        <v>21</v>
      </c>
      <c r="C122" s="212" t="s">
        <v>295</v>
      </c>
      <c r="D122" s="503"/>
      <c r="E122" s="502"/>
      <c r="F122" s="426">
        <f t="shared" ref="F122:F126" si="106">BI122</f>
        <v>72.89719626168224</v>
      </c>
      <c r="G122" s="429">
        <f t="shared" ref="G122:G126" si="107">BJ122</f>
        <v>72.89719626168224</v>
      </c>
      <c r="H122" s="459" t="s">
        <v>22</v>
      </c>
      <c r="I122" s="460"/>
      <c r="J122" s="156">
        <f>HLOOKUP($Z122,$AB$116:$AF$183,$AA122,FALSE)*$F122</f>
        <v>0</v>
      </c>
      <c r="K122" s="9">
        <f t="shared" si="90"/>
        <v>0</v>
      </c>
      <c r="L122" s="27">
        <f t="shared" si="91"/>
        <v>0</v>
      </c>
      <c r="M122" s="12">
        <f t="shared" si="92"/>
        <v>0</v>
      </c>
      <c r="N122" s="9">
        <f t="shared" si="93"/>
        <v>0</v>
      </c>
      <c r="O122" s="27">
        <f t="shared" si="94"/>
        <v>0</v>
      </c>
      <c r="T122" s="91" t="str">
        <f>CONCATENATE("ref: ",Referentieproject!T122)</f>
        <v>ref: 1 kalkzandsteen binnenblad</v>
      </c>
      <c r="U122" s="263" t="s">
        <v>67</v>
      </c>
      <c r="V122" s="263" t="s">
        <v>349</v>
      </c>
      <c r="W122" s="263" t="s">
        <v>85</v>
      </c>
      <c r="X122" s="99" t="s">
        <v>417</v>
      </c>
      <c r="Y122" s="263" t="s">
        <v>62</v>
      </c>
      <c r="Z122" s="2">
        <f>IF(D202=T122,Referentieproject!Z122,IF(D202=U122,1,IF(D202=V122,2,IF(D202=W122,3,IF(D202=X122,4,5)))))</f>
        <v>5</v>
      </c>
      <c r="AA122" s="35">
        <f t="shared" si="95"/>
        <v>7</v>
      </c>
      <c r="AB122" s="35">
        <f>HLOOKUP(AB$116,Kostengegevens!$AK$74:$BN$135,Stappen!$AA122,FALSE)</f>
        <v>59.70788079503086</v>
      </c>
      <c r="AC122" s="35">
        <f>HLOOKUP(AC$116,Kostengegevens!$AK$74:$BN$135,Stappen!$AA122,FALSE)</f>
        <v>55.882894800235533</v>
      </c>
      <c r="AD122" s="35">
        <f>HLOOKUP(AD$116,Kostengegevens!$AK$74:$BN$135,Stappen!$AA122,FALSE)</f>
        <v>141.76919999980373</v>
      </c>
      <c r="AE122" s="42">
        <f>HLOOKUP(AE$116,Kostengegevens!$AK$74:$BN$135,Stappen!$AA122,FALSE)+AE66</f>
        <v>81.06175800002643</v>
      </c>
      <c r="AF122" s="3"/>
      <c r="AG122" s="35">
        <f>HLOOKUP(AG$116+10,Kostengegevens!$AK$74:$BN$135,Stappen!$AA122,FALSE)</f>
        <v>8.0377266166307493</v>
      </c>
      <c r="AH122" s="35">
        <f>HLOOKUP(AH$116+10,Kostengegevens!$AK$74:$BN$135,Stappen!$AA122,FALSE)</f>
        <v>15.386024299965939</v>
      </c>
      <c r="AI122" s="35">
        <f>HLOOKUP(AI$116+10,Kostengegevens!$AK$74:$BN$135,Stappen!$AA122,FALSE)</f>
        <v>42.124900000006903</v>
      </c>
      <c r="AJ122" s="42">
        <f>HLOOKUP(AJ$116+10,Kostengegevens!$AK$74:$BN$135,Stappen!$AA122,FALSE)+AJ66</f>
        <v>12.147972499921451</v>
      </c>
      <c r="AK122" s="3"/>
      <c r="AL122" s="35">
        <f>HLOOKUP(AL$116+20,Kostengegevens!$AK$74:$BN$135,Stappen!$AA122,FALSE)</f>
        <v>28.437397674450722</v>
      </c>
      <c r="AM122" s="35">
        <f>HLOOKUP(AM$116+20,Kostengegevens!$AK$74:$BN$135,Stappen!$AA122,FALSE)</f>
        <v>69.061782099897982</v>
      </c>
      <c r="AN122" s="35">
        <f>HLOOKUP(AN$116+20,Kostengegevens!$AK$74:$BN$135,Stappen!$AA122,FALSE)</f>
        <v>94.181800000043495</v>
      </c>
      <c r="AO122" s="42">
        <f>HLOOKUP(AO$116+20,Kostengegevens!$AK$74:$BN$135,Stappen!$AA122,FALSE)+AO66</f>
        <v>76.353118000098078</v>
      </c>
      <c r="AP122" s="3"/>
      <c r="AQ122" s="35">
        <f>HLOOKUP(AQ$116+30,Kostengegevens!$AK$74:$BN$135,Stappen!$AA122,FALSE)</f>
        <v>282.42314979820458</v>
      </c>
      <c r="AR122" s="35">
        <f>HLOOKUP(AR$116+30,Kostengegevens!$AK$74:$BN$135,Stappen!$AA122,FALSE)</f>
        <v>748.12414630021931</v>
      </c>
      <c r="AS122" s="35">
        <f>HLOOKUP(AS$116+30,Kostengegevens!$AK$74:$BN$135,Stappen!$AA122,FALSE)</f>
        <v>1122.3645999994123</v>
      </c>
      <c r="AT122" s="42">
        <f>HLOOKUP(AT$116+30,Kostengegevens!$AK$74:$BN$135,Stappen!$AA122,FALSE)+AT66</f>
        <v>387.84015250023458</v>
      </c>
      <c r="AU122" s="3"/>
      <c r="AV122" s="35">
        <f>HLOOKUP(AV$116+40,Kostengegevens!$AK$74:$BN$135,Stappen!$AA122,FALSE)</f>
        <v>7.4181315378884847</v>
      </c>
      <c r="AW122" s="35">
        <f>HLOOKUP(AW$116+40,Kostengegevens!$AK$74:$BN$135,Stappen!$AA122,FALSE)</f>
        <v>21.189117400012321</v>
      </c>
      <c r="AX122" s="35">
        <f>HLOOKUP(AX$116+40,Kostengegevens!$AK$74:$BN$135,Stappen!$AA122,FALSE)</f>
        <v>8.1242000000015935</v>
      </c>
      <c r="AY122" s="42">
        <f>HLOOKUP(AY$116+40,Kostengegevens!$AK$74:$BN$135,Stappen!$AA122,FALSE)+AY66</f>
        <v>57.804137999999227</v>
      </c>
      <c r="AZ122" s="3"/>
      <c r="BA122" s="35">
        <f>HLOOKUP(BA$116+50,Kostengegevens!$AK$74:$BN$135,Stappen!$AA122,FALSE)</f>
        <v>3.7735006451748063</v>
      </c>
      <c r="BB122" s="35">
        <f>HLOOKUP(BB$116+50,Kostengegevens!$AK$74:$BN$135,Stappen!$AA122,FALSE)</f>
        <v>8.6825688000069903</v>
      </c>
      <c r="BC122" s="35">
        <f>HLOOKUP(BC$116+50,Kostengegevens!$AK$74:$BN$135,Stappen!$AA122,FALSE)</f>
        <v>16.070099999973323</v>
      </c>
      <c r="BD122" s="42">
        <f>HLOOKUP(BD$116+50,Kostengegevens!$AK$74:$BN$135,Stappen!$AA122,FALSE)+BD66</f>
        <v>2.7259350000170528</v>
      </c>
      <c r="BE122" s="3"/>
      <c r="BG122" s="2">
        <v>3</v>
      </c>
      <c r="BH122" s="57">
        <v>7</v>
      </c>
      <c r="BI122" s="35">
        <f>BJ122/BJ$26*BI$26</f>
        <v>72.89719626168224</v>
      </c>
      <c r="BJ122" s="56">
        <f>HLOOKUP(BJ$116,$BL$116:$BP$178,BH122,FALSE)*VLOOKUP($BG122,$BH$24:$BJ$46,3,FALSE)</f>
        <v>72.89719626168224</v>
      </c>
      <c r="BK122" s="47" t="s">
        <v>22</v>
      </c>
      <c r="BL122" s="102">
        <f>393/926</f>
        <v>0.4244060475161987</v>
      </c>
      <c r="BM122" s="102">
        <f>624/1284</f>
        <v>0.48598130841121495</v>
      </c>
      <c r="BN122" s="102">
        <f>242/398</f>
        <v>0.60804020100502509</v>
      </c>
      <c r="BO122" s="102">
        <f>767/1141</f>
        <v>0.67221735319894826</v>
      </c>
      <c r="BP122" s="102">
        <f>393/926</f>
        <v>0.4244060475161987</v>
      </c>
      <c r="BR122" s="2">
        <v>2</v>
      </c>
      <c r="BS122" s="2">
        <v>1</v>
      </c>
      <c r="BT122" s="2">
        <v>1</v>
      </c>
      <c r="BU122" s="2">
        <v>1</v>
      </c>
      <c r="CA122" s="503"/>
      <c r="CB122" s="502"/>
      <c r="CC122" s="426">
        <f t="shared" ref="CC122:CC126" si="108">EF122</f>
        <v>0</v>
      </c>
      <c r="CD122" s="429">
        <f t="shared" ref="CD122:CD126" si="109">EG122</f>
        <v>0</v>
      </c>
      <c r="CE122" s="459" t="s">
        <v>22</v>
      </c>
      <c r="CF122" s="460"/>
      <c r="CG122" s="503"/>
      <c r="CH122" s="502"/>
      <c r="CI122" s="426">
        <f t="shared" ref="CI122:CI126" si="110">EL122</f>
        <v>0</v>
      </c>
      <c r="CJ122" s="429">
        <f t="shared" ref="CJ122:CJ126" si="111">EM122</f>
        <v>0</v>
      </c>
      <c r="CK122" s="459" t="s">
        <v>22</v>
      </c>
      <c r="CL122" s="460"/>
      <c r="CM122" s="503"/>
      <c r="CN122" s="502"/>
      <c r="CO122" s="426">
        <f t="shared" ref="CO122:CO126" si="112">ER122</f>
        <v>0</v>
      </c>
      <c r="CP122" s="429">
        <f t="shared" ref="CP122:CP126" si="113">ES122</f>
        <v>0</v>
      </c>
      <c r="CQ122" s="459" t="s">
        <v>22</v>
      </c>
      <c r="CR122" s="460"/>
      <c r="CS122" s="503"/>
      <c r="CT122" s="502"/>
      <c r="CU122" s="426">
        <f t="shared" ref="CU122:CU126" si="114">EX122</f>
        <v>0</v>
      </c>
      <c r="CV122" s="429">
        <f t="shared" ref="CV122:CV126" si="115">EY122</f>
        <v>0</v>
      </c>
      <c r="CW122" s="459" t="s">
        <v>22</v>
      </c>
      <c r="CX122" s="460"/>
      <c r="CY122" s="503"/>
      <c r="CZ122" s="502"/>
      <c r="DA122" s="426"/>
      <c r="DB122" s="429"/>
      <c r="DC122" s="459"/>
      <c r="DD122" s="460"/>
    </row>
    <row r="123" spans="1:108" x14ac:dyDescent="0.2">
      <c r="A123" s="49"/>
      <c r="B123" s="33">
        <v>22</v>
      </c>
      <c r="C123" s="212" t="s">
        <v>296</v>
      </c>
      <c r="D123" s="503"/>
      <c r="E123" s="502"/>
      <c r="F123" s="426">
        <f t="shared" si="106"/>
        <v>39.252336448598129</v>
      </c>
      <c r="G123" s="429">
        <f t="shared" si="107"/>
        <v>39.252336448598129</v>
      </c>
      <c r="H123" s="459" t="s">
        <v>22</v>
      </c>
      <c r="I123" s="460"/>
      <c r="J123" s="156">
        <f t="shared" ref="J123:J134" si="116">HLOOKUP($Z123,$AB$116:$AF$183,$AA123,FALSE)*$F123</f>
        <v>0</v>
      </c>
      <c r="K123" s="9">
        <f t="shared" si="90"/>
        <v>0</v>
      </c>
      <c r="L123" s="27">
        <f t="shared" si="91"/>
        <v>0</v>
      </c>
      <c r="M123" s="12">
        <f t="shared" si="92"/>
        <v>0</v>
      </c>
      <c r="N123" s="9">
        <f t="shared" si="93"/>
        <v>0</v>
      </c>
      <c r="O123" s="27">
        <f t="shared" si="94"/>
        <v>0</v>
      </c>
      <c r="T123" s="91" t="str">
        <f>CONCATENATE("ref: ",Referentieproject!T123)</f>
        <v>ref: 1 kalkzandst.bi.wand (spouw 2xE150)</v>
      </c>
      <c r="U123" s="263" t="s">
        <v>335</v>
      </c>
      <c r="V123" s="263" t="s">
        <v>75</v>
      </c>
      <c r="W123" s="263" t="s">
        <v>86</v>
      </c>
      <c r="X123" s="263" t="s">
        <v>418</v>
      </c>
      <c r="Y123" s="263" t="s">
        <v>62</v>
      </c>
      <c r="Z123" s="2">
        <f>IF(D203=T123,Referentieproject!Z123,IF(D203=U123,1,IF(D203=V123,2,IF(D203=W123,3,IF(D203=X123,4,5)))))</f>
        <v>5</v>
      </c>
      <c r="AA123" s="35">
        <f t="shared" si="95"/>
        <v>8</v>
      </c>
      <c r="AB123" s="35">
        <f>HLOOKUP(AB$116,Kostengegevens!$AK$74:$BN$135,Stappen!$AA123,FALSE)</f>
        <v>107.66149999992922</v>
      </c>
      <c r="AC123" s="35">
        <f>HLOOKUP(AC$116,Kostengegevens!$AK$74:$BN$135,Stappen!$AA123,FALSE)</f>
        <v>68.307627800153568</v>
      </c>
      <c r="AD123" s="35">
        <f>HLOOKUP(AD$116,Kostengegevens!$AK$74:$BN$135,Stappen!$AA123,FALSE)</f>
        <v>186.94500000029802</v>
      </c>
      <c r="AE123" s="35">
        <f>HLOOKUP(AE$116,Kostengegevens!$AK$74:$BN$135,Stappen!$AA123,FALSE)</f>
        <v>100.50770000007469</v>
      </c>
      <c r="AF123" s="3"/>
      <c r="AG123" s="35">
        <f>HLOOKUP(AG$116+10,Kostengegevens!$AK$74:$BN$135,Stappen!$AA123,FALSE)</f>
        <v>16.577000000048429</v>
      </c>
      <c r="AH123" s="35">
        <f>HLOOKUP(AH$116+10,Kostengegevens!$AK$74:$BN$135,Stappen!$AA123,FALSE)</f>
        <v>29.494344000006095</v>
      </c>
      <c r="AI123" s="35">
        <f>HLOOKUP(AI$116+10,Kostengegevens!$AK$74:$BN$135,Stappen!$AA123,FALSE)</f>
        <v>66.875</v>
      </c>
      <c r="AJ123" s="35">
        <f>HLOOKUP(AJ$116+10,Kostengegevens!$AK$74:$BN$135,Stappen!$AA123,FALSE)</f>
        <v>18.15562500001397</v>
      </c>
      <c r="AK123" s="3"/>
      <c r="AL123" s="35">
        <f>HLOOKUP(AL$116+20,Kostengegevens!$AK$74:$BN$135,Stappen!$AA123,FALSE)</f>
        <v>60.741500000120141</v>
      </c>
      <c r="AM123" s="35">
        <f>HLOOKUP(AM$116+20,Kostengegevens!$AK$74:$BN$135,Stappen!$AA123,FALSE)</f>
        <v>134.64728280005511</v>
      </c>
      <c r="AN123" s="35">
        <f>HLOOKUP(AN$116+20,Kostengegevens!$AK$74:$BN$135,Stappen!$AA123,FALSE)</f>
        <v>151.55499999993481</v>
      </c>
      <c r="AO123" s="35">
        <f>HLOOKUP(AO$116+20,Kostengegevens!$AK$74:$BN$135,Stappen!$AA123,FALSE)</f>
        <v>100.72070000000531</v>
      </c>
      <c r="AP123" s="3"/>
      <c r="AQ123" s="35">
        <f>HLOOKUP(AQ$116+30,Kostengegevens!$AK$74:$BN$135,Stappen!$AA123,FALSE)</f>
        <v>582.79949999973178</v>
      </c>
      <c r="AR123" s="35">
        <f>HLOOKUP(AR$116+30,Kostengegevens!$AK$74:$BN$135,Stappen!$AA123,FALSE)</f>
        <v>875.42701900005386</v>
      </c>
      <c r="AS123" s="35">
        <f>HLOOKUP(AS$116+30,Kostengegevens!$AK$74:$BN$135,Stappen!$AA123,FALSE)</f>
        <v>1665.9100000001481</v>
      </c>
      <c r="AT123" s="35">
        <f>HLOOKUP(AT$116+30,Kostengegevens!$AK$74:$BN$135,Stappen!$AA123,FALSE)</f>
        <v>527.10812500026077</v>
      </c>
      <c r="AU123" s="3"/>
      <c r="AV123" s="35">
        <f>HLOOKUP(AV$116+40,Kostengegevens!$AK$74:$BN$135,Stappen!$AA123,FALSE)</f>
        <v>15.142500000016298</v>
      </c>
      <c r="AW123" s="35">
        <f>HLOOKUP(AW$116+40,Kostengegevens!$AK$74:$BN$135,Stappen!$AA123,FALSE)</f>
        <v>39.979672799992841</v>
      </c>
      <c r="AX123" s="35">
        <f>HLOOKUP(AX$116+40,Kostengegevens!$AK$74:$BN$135,Stappen!$AA123,FALSE)</f>
        <v>12.619999999995343</v>
      </c>
      <c r="AY123" s="35">
        <f>HLOOKUP(AY$116+40,Kostengegevens!$AK$74:$BN$135,Stappen!$AA123,FALSE)</f>
        <v>74.917200000025318</v>
      </c>
      <c r="AZ123" s="3"/>
      <c r="BA123" s="35">
        <f>HLOOKUP(BA$116+50,Kostengegevens!$AK$74:$BN$135,Stappen!$AA123,FALSE)</f>
        <v>0.77400000003399327</v>
      </c>
      <c r="BB123" s="35">
        <f>HLOOKUP(BB$116+50,Kostengegevens!$AK$74:$BN$135,Stappen!$AA123,FALSE)</f>
        <v>30.264395000005607</v>
      </c>
      <c r="BC123" s="35">
        <f>HLOOKUP(BC$116+50,Kostengegevens!$AK$74:$BN$135,Stappen!$AA123,FALSE)</f>
        <v>29.5</v>
      </c>
      <c r="BD123" s="35">
        <f>HLOOKUP(BD$116+50,Kostengegevens!$AK$74:$BN$135,Stappen!$AA123,FALSE)</f>
        <v>3.9597499999799766</v>
      </c>
      <c r="BE123" s="3"/>
      <c r="BG123" s="2">
        <v>3</v>
      </c>
      <c r="BH123" s="57">
        <v>8</v>
      </c>
      <c r="BI123" s="35">
        <f>BJ123/BJ$26*BI$26</f>
        <v>39.252336448598129</v>
      </c>
      <c r="BJ123" s="56">
        <f>HLOOKUP(BJ$116,$BL$116:$BP$178,BH123,FALSE)*VLOOKUP($BG123,$BH$24:$BJ$46,3,FALSE)</f>
        <v>39.252336448598129</v>
      </c>
      <c r="BK123" s="47" t="s">
        <v>22</v>
      </c>
      <c r="BL123" s="102">
        <f>109/926</f>
        <v>0.11771058315334773</v>
      </c>
      <c r="BM123" s="102">
        <f>336/1284</f>
        <v>0.26168224299065418</v>
      </c>
      <c r="BN123" s="102">
        <f>125/398</f>
        <v>0.314070351758794</v>
      </c>
      <c r="BO123" s="102">
        <f>317/1141</f>
        <v>0.27782646801051708</v>
      </c>
      <c r="BP123" s="102">
        <f>109/926</f>
        <v>0.11771058315334773</v>
      </c>
      <c r="BR123" s="2">
        <v>2</v>
      </c>
      <c r="BS123" s="2">
        <v>1</v>
      </c>
      <c r="BT123" s="2">
        <v>1</v>
      </c>
      <c r="BU123" s="2">
        <v>1</v>
      </c>
      <c r="CA123" s="503"/>
      <c r="CB123" s="502"/>
      <c r="CC123" s="426">
        <f t="shared" si="108"/>
        <v>0</v>
      </c>
      <c r="CD123" s="429">
        <f t="shared" si="109"/>
        <v>0</v>
      </c>
      <c r="CE123" s="459" t="s">
        <v>22</v>
      </c>
      <c r="CF123" s="460"/>
      <c r="CG123" s="503"/>
      <c r="CH123" s="502"/>
      <c r="CI123" s="426">
        <f t="shared" si="110"/>
        <v>0</v>
      </c>
      <c r="CJ123" s="429">
        <f t="shared" si="111"/>
        <v>0</v>
      </c>
      <c r="CK123" s="459" t="s">
        <v>22</v>
      </c>
      <c r="CL123" s="460"/>
      <c r="CM123" s="503"/>
      <c r="CN123" s="502"/>
      <c r="CO123" s="426">
        <f t="shared" si="112"/>
        <v>0</v>
      </c>
      <c r="CP123" s="429">
        <f t="shared" si="113"/>
        <v>0</v>
      </c>
      <c r="CQ123" s="459" t="s">
        <v>22</v>
      </c>
      <c r="CR123" s="460"/>
      <c r="CS123" s="503"/>
      <c r="CT123" s="502"/>
      <c r="CU123" s="426">
        <f t="shared" si="114"/>
        <v>0</v>
      </c>
      <c r="CV123" s="429">
        <f t="shared" si="115"/>
        <v>0</v>
      </c>
      <c r="CW123" s="459" t="s">
        <v>22</v>
      </c>
      <c r="CX123" s="460"/>
      <c r="CY123" s="503"/>
      <c r="CZ123" s="502"/>
      <c r="DA123" s="426"/>
      <c r="DB123" s="429"/>
      <c r="DC123" s="459"/>
      <c r="DD123" s="460"/>
    </row>
    <row r="124" spans="1:108" x14ac:dyDescent="0.2">
      <c r="A124" s="49"/>
      <c r="B124" s="33">
        <v>23</v>
      </c>
      <c r="C124" s="212" t="s">
        <v>297</v>
      </c>
      <c r="D124" s="503"/>
      <c r="E124" s="502"/>
      <c r="F124" s="426">
        <f t="shared" si="106"/>
        <v>124.76635514018692</v>
      </c>
      <c r="G124" s="429">
        <f t="shared" si="107"/>
        <v>124.76635514018692</v>
      </c>
      <c r="H124" s="459" t="s">
        <v>22</v>
      </c>
      <c r="I124" s="460"/>
      <c r="J124" s="156">
        <f t="shared" si="116"/>
        <v>0</v>
      </c>
      <c r="K124" s="9">
        <f t="shared" si="90"/>
        <v>0</v>
      </c>
      <c r="L124" s="27">
        <f t="shared" si="91"/>
        <v>0</v>
      </c>
      <c r="M124" s="12">
        <f t="shared" si="92"/>
        <v>0</v>
      </c>
      <c r="N124" s="9">
        <f t="shared" si="93"/>
        <v>0</v>
      </c>
      <c r="O124" s="27">
        <f t="shared" si="94"/>
        <v>0</v>
      </c>
      <c r="T124" s="91" t="str">
        <f>CONCATENATE("ref: ",Referentieproject!T124)</f>
        <v>ref: 3 kanaalplaatvloer</v>
      </c>
      <c r="U124" s="99" t="s">
        <v>336</v>
      </c>
      <c r="V124" s="99" t="s">
        <v>76</v>
      </c>
      <c r="W124" s="99" t="s">
        <v>87</v>
      </c>
      <c r="X124" s="99" t="s">
        <v>419</v>
      </c>
      <c r="Y124" s="263" t="s">
        <v>62</v>
      </c>
      <c r="Z124" s="2">
        <f>IF(D204=T124,Referentieproject!Z124,IF(D204=U124,1,IF(D204=V124,2,IF(D204=W124,3,IF(D204=X124,4,5)))))</f>
        <v>5</v>
      </c>
      <c r="AA124" s="35">
        <f t="shared" si="95"/>
        <v>9</v>
      </c>
      <c r="AB124" s="42">
        <f>HLOOKUP(AB$116,Kostengegevens!$AK$74:$BN$135,Stappen!$AA124,FALSE)+AB67*($F$117-$F$118)/$F$124</f>
        <v>63.802127833245322</v>
      </c>
      <c r="AC124" s="42">
        <f>HLOOKUP(AC$116,Kostengegevens!$AK$74:$BN$135,Stappen!$AA124,FALSE)+AC67*($F$117-$F$118)/$F$124</f>
        <v>59.173744999881251</v>
      </c>
      <c r="AD124" s="42">
        <f>HLOOKUP(AD$116,Kostengegevens!$AK$74:$BN$135,Stappen!$AA124,FALSE)+AD67*($F$117-$F$118)/$F$124</f>
        <v>54.556685000114726</v>
      </c>
      <c r="AE124" s="42">
        <f>HLOOKUP(AE$116,Kostengegevens!$AK$74:$BN$135,Stappen!$AA124,FALSE)+AE67*($F$117-$F$118)/$F$124</f>
        <v>45.759851666710631</v>
      </c>
      <c r="AF124" s="3"/>
      <c r="AG124" s="42">
        <f>HLOOKUP(AG$116+10,Kostengegevens!$AK$74:$BN$135,Stappen!$AA124,FALSE)+AG67*($F$117-$F$118)/$F$124</f>
        <v>25.723293333294947</v>
      </c>
      <c r="AH124" s="42">
        <f>HLOOKUP(AH$116+10,Kostengegevens!$AK$74:$BN$135,Stappen!$AA124,FALSE)+AH67*($F$117-$F$118)/$F$124</f>
        <v>31.279715000050302</v>
      </c>
      <c r="AI124" s="42">
        <f>HLOOKUP(AI$116+10,Kostengegevens!$AK$74:$BN$135,Stappen!$AA124,FALSE)+AI67*($F$117-$F$118)/$F$124</f>
        <v>15.638008333373989</v>
      </c>
      <c r="AJ124" s="42">
        <f>HLOOKUP(AJ$116+10,Kostengegevens!$AK$74:$BN$135,Stappen!$AA124,FALSE)+AJ67*($F$117-$F$118)/$F$124</f>
        <v>13.667608333421711</v>
      </c>
      <c r="AK124" s="3"/>
      <c r="AL124" s="42">
        <f>HLOOKUP(AL$116+20,Kostengegevens!$AK$74:$BN$135,Stappen!$AA124,FALSE)+AL67*($F$117-$F$118)/$F$124</f>
        <v>95.631629499956034</v>
      </c>
      <c r="AM124" s="42">
        <f>HLOOKUP(AM$116+20,Kostengegevens!$AK$74:$BN$135,Stappen!$AA124,FALSE)+AM67*($F$117-$F$118)/$F$124</f>
        <v>118.84641499991994</v>
      </c>
      <c r="AN124" s="42">
        <f>HLOOKUP(AN$116+20,Kostengegevens!$AK$74:$BN$135,Stappen!$AA124,FALSE)+AN67*($F$117-$F$118)/$F$124</f>
        <v>68.082601666722098</v>
      </c>
      <c r="AO124" s="42">
        <f>HLOOKUP(AO$116+20,Kostengegevens!$AK$74:$BN$135,Stappen!$AA124,FALSE)+AO67*($F$117-$F$118)/$F$124</f>
        <v>54.185268333298154</v>
      </c>
      <c r="AP124" s="3"/>
      <c r="AQ124" s="42">
        <f>HLOOKUP(AQ$116+30,Kostengegevens!$AK$74:$BN$135,Stappen!$AA124,FALSE)+AQ67*($F$117-$F$118)/$F$124</f>
        <v>870.15907083389629</v>
      </c>
      <c r="AR124" s="42">
        <f>HLOOKUP(AR$116+30,Kostengegevens!$AK$74:$BN$135,Stappen!$AA124,FALSE)+AR67*($F$117-$F$118)/$F$124</f>
        <v>1132.9503133328008</v>
      </c>
      <c r="AS124" s="42">
        <f>HLOOKUP(AS$116+30,Kostengegevens!$AK$74:$BN$135,Stappen!$AA124,FALSE)+AS67*($F$117-$F$118)/$F$124</f>
        <v>532.2597166666128</v>
      </c>
      <c r="AT124" s="42">
        <f>HLOOKUP(AT$116+30,Kostengegevens!$AK$74:$BN$135,Stappen!$AA124,FALSE)+AT67*($F$117-$F$118)/$F$124</f>
        <v>496.3538666684185</v>
      </c>
      <c r="AU124" s="3"/>
      <c r="AV124" s="42">
        <f>HLOOKUP(AV$116+40,Kostengegevens!$AK$74:$BN$135,Stappen!$AA124,FALSE)+AV67*($F$117-$F$118)/$F$124</f>
        <v>21.863603666647862</v>
      </c>
      <c r="AW124" s="42">
        <f>HLOOKUP(AW$116+40,Kostengegevens!$AK$74:$BN$135,Stappen!$AA124,FALSE)+AW67*($F$117-$F$118)/$F$124</f>
        <v>25.717470000012952</v>
      </c>
      <c r="AX124" s="42">
        <f>HLOOKUP(AX$116+40,Kostengegevens!$AK$74:$BN$135,Stappen!$AA124,FALSE)+AX67*($F$117-$F$118)/$F$124</f>
        <v>17.960310000009457</v>
      </c>
      <c r="AY124" s="42">
        <f>HLOOKUP(AY$116+40,Kostengegevens!$AK$74:$BN$135,Stappen!$AA124,FALSE)+AY67*($F$117-$F$118)/$F$124</f>
        <v>21.598343333345838</v>
      </c>
      <c r="AZ124" s="3"/>
      <c r="BA124" s="42">
        <f>HLOOKUP(BA$116+50,Kostengegevens!$AK$74:$BN$135,Stappen!$AA124,FALSE)+BA67*($F$117-$F$118)/$F$124</f>
        <v>23.881719166684604</v>
      </c>
      <c r="BB124" s="42">
        <f>HLOOKUP(BB$116+50,Kostengegevens!$AK$74:$BN$135,Stappen!$AA124,FALSE)+BB67*($F$117-$F$118)/$F$124</f>
        <v>24.675681666684483</v>
      </c>
      <c r="BC124" s="42">
        <f>HLOOKUP(BC$116+50,Kostengegevens!$AK$74:$BN$135,Stappen!$AA124,FALSE)+BC67*($F$117-$F$118)/$F$124</f>
        <v>16.775541666672041</v>
      </c>
      <c r="BD124" s="42">
        <f>HLOOKUP(BD$116+50,Kostengegevens!$AK$74:$BN$135,Stappen!$AA124,FALSE)+BD67*($F$117-$F$118)/$F$124</f>
        <v>6.6011416666830556</v>
      </c>
      <c r="BE124" s="3"/>
      <c r="BG124" s="2">
        <v>3</v>
      </c>
      <c r="BH124" s="57">
        <v>9</v>
      </c>
      <c r="BI124" s="35">
        <f>BJ124/BJ$26*BI$26</f>
        <v>124.76635514018692</v>
      </c>
      <c r="BJ124" s="56">
        <f>HLOOKUP(BJ$116,$BL$116:$BP$178,BH124,FALSE)*VLOOKUP($BG124,$BH$24:$BJ$46,3,FALSE)</f>
        <v>124.76635514018692</v>
      </c>
      <c r="BK124" s="47" t="s">
        <v>22</v>
      </c>
      <c r="BL124" s="102">
        <f>834/926</f>
        <v>0.90064794816414684</v>
      </c>
      <c r="BM124" s="102">
        <f>1068/1284</f>
        <v>0.83177570093457942</v>
      </c>
      <c r="BN124" s="102">
        <f>361/398</f>
        <v>0.90703517587939697</v>
      </c>
      <c r="BO124" s="102">
        <f>1025/1141</f>
        <v>0.89833479404031547</v>
      </c>
      <c r="BP124" s="102">
        <f>834/926</f>
        <v>0.90064794816414684</v>
      </c>
      <c r="BR124" s="2">
        <v>2</v>
      </c>
      <c r="BS124" s="2">
        <v>3</v>
      </c>
      <c r="BT124" s="2">
        <v>1</v>
      </c>
      <c r="BU124" s="2">
        <v>1</v>
      </c>
      <c r="CA124" s="503"/>
      <c r="CB124" s="502"/>
      <c r="CC124" s="426">
        <f t="shared" si="108"/>
        <v>0</v>
      </c>
      <c r="CD124" s="429">
        <f t="shared" si="109"/>
        <v>0</v>
      </c>
      <c r="CE124" s="459" t="s">
        <v>22</v>
      </c>
      <c r="CF124" s="460"/>
      <c r="CG124" s="503"/>
      <c r="CH124" s="502"/>
      <c r="CI124" s="426">
        <f t="shared" si="110"/>
        <v>0</v>
      </c>
      <c r="CJ124" s="429">
        <f t="shared" si="111"/>
        <v>0</v>
      </c>
      <c r="CK124" s="459" t="s">
        <v>22</v>
      </c>
      <c r="CL124" s="460"/>
      <c r="CM124" s="503"/>
      <c r="CN124" s="502"/>
      <c r="CO124" s="426">
        <f t="shared" si="112"/>
        <v>0</v>
      </c>
      <c r="CP124" s="429">
        <f t="shared" si="113"/>
        <v>0</v>
      </c>
      <c r="CQ124" s="459" t="s">
        <v>22</v>
      </c>
      <c r="CR124" s="460"/>
      <c r="CS124" s="503"/>
      <c r="CT124" s="502"/>
      <c r="CU124" s="426">
        <f t="shared" si="114"/>
        <v>0</v>
      </c>
      <c r="CV124" s="429">
        <f t="shared" si="115"/>
        <v>0</v>
      </c>
      <c r="CW124" s="459" t="s">
        <v>22</v>
      </c>
      <c r="CX124" s="460"/>
      <c r="CY124" s="503"/>
      <c r="CZ124" s="502"/>
      <c r="DA124" s="426"/>
      <c r="DB124" s="429"/>
      <c r="DC124" s="459"/>
      <c r="DD124" s="460"/>
    </row>
    <row r="125" spans="1:108" x14ac:dyDescent="0.2">
      <c r="A125" s="49"/>
      <c r="B125" s="33">
        <v>27</v>
      </c>
      <c r="C125" s="212" t="s">
        <v>298</v>
      </c>
      <c r="D125" s="503"/>
      <c r="E125" s="502"/>
      <c r="F125" s="426">
        <f t="shared" si="106"/>
        <v>65.887850467289724</v>
      </c>
      <c r="G125" s="429">
        <f t="shared" si="107"/>
        <v>65.887850467289724</v>
      </c>
      <c r="H125" s="459" t="s">
        <v>22</v>
      </c>
      <c r="I125" s="460"/>
      <c r="J125" s="156">
        <f t="shared" si="116"/>
        <v>0</v>
      </c>
      <c r="K125" s="9">
        <f t="shared" si="90"/>
        <v>0</v>
      </c>
      <c r="L125" s="27">
        <f t="shared" si="91"/>
        <v>0</v>
      </c>
      <c r="M125" s="12">
        <f t="shared" si="92"/>
        <v>0</v>
      </c>
      <c r="N125" s="9">
        <f t="shared" si="93"/>
        <v>0</v>
      </c>
      <c r="O125" s="27">
        <f t="shared" si="94"/>
        <v>0</v>
      </c>
      <c r="T125" s="91" t="str">
        <f>CONCATENATE("ref: ",Referentieproject!T125)</f>
        <v>ref: 1 plat dak: constructie als bij vloeren</v>
      </c>
      <c r="U125" s="263" t="s">
        <v>143</v>
      </c>
      <c r="V125" s="263" t="s">
        <v>142</v>
      </c>
      <c r="W125" s="99" t="s">
        <v>350</v>
      </c>
      <c r="X125" s="99" t="s">
        <v>351</v>
      </c>
      <c r="Y125" s="263" t="s">
        <v>62</v>
      </c>
      <c r="Z125" s="2">
        <f>IF(D205=T125,Referentieproject!Z125,IF(D205=U125,1,IF(D205=V125,2,IF(D205=W125,3,IF(D205=X125,4,5)))))</f>
        <v>5</v>
      </c>
      <c r="AA125" s="35">
        <f t="shared" si="95"/>
        <v>10</v>
      </c>
      <c r="AB125" s="70">
        <f>HLOOKUP($Z124,AB116:AF124,9)</f>
        <v>0</v>
      </c>
      <c r="AC125" s="35">
        <f>HLOOKUP(AC$116,Kostengegevens!$AK$74:$BN$135,Stappen!$AA125,FALSE)</f>
        <v>31.212500000139698</v>
      </c>
      <c r="AD125" s="42">
        <f>HLOOKUP(AD$116,Kostengegevens!$AK$74:$BN$135,Stappen!$AA125,FALSE)+AD68</f>
        <v>133.64358287652931</v>
      </c>
      <c r="AE125" s="42">
        <f>HLOOKUP(AE$116,Kostengegevens!$AK$74:$BN$135,Stappen!$AA125,FALSE)+AE68</f>
        <v>98.913106874846562</v>
      </c>
      <c r="AF125" s="3"/>
      <c r="AG125" s="70">
        <f>HLOOKUP($Z124,AG116:AK124,9)</f>
        <v>0</v>
      </c>
      <c r="AH125" s="35">
        <f>HLOOKUP(AH$116+10,Kostengegevens!$AK$74:$BN$135,Stappen!$AA125,FALSE)</f>
        <v>7.2250000000058208</v>
      </c>
      <c r="AI125" s="42">
        <f>HLOOKUP(AI$116+10,Kostengegevens!$AK$74:$BN$135,Stappen!$AA125,FALSE)+AI68</f>
        <v>22.625142465789736</v>
      </c>
      <c r="AJ125" s="42">
        <f>HLOOKUP(AJ$116+10,Kostengegevens!$AK$74:$BN$135,Stappen!$AA125,FALSE)+AJ68</f>
        <v>22.468443125018879</v>
      </c>
      <c r="AK125" s="3"/>
      <c r="AL125" s="70">
        <f>HLOOKUP($Z124,AL116:AP124,9)</f>
        <v>0</v>
      </c>
      <c r="AM125" s="35">
        <f>HLOOKUP(AM$116+20,Kostengegevens!$AK$74:$BN$135,Stappen!$AA125,FALSE)</f>
        <v>19.79500000004191</v>
      </c>
      <c r="AN125" s="42">
        <f>HLOOKUP(AN$116+20,Kostengegevens!$AK$74:$BN$135,Stappen!$AA125,FALSE)+AN68</f>
        <v>69.830606164587721</v>
      </c>
      <c r="AO125" s="42">
        <f>HLOOKUP(AO$116+20,Kostengegevens!$AK$74:$BN$135,Stappen!$AA125,FALSE)+AO68</f>
        <v>75.242400624894799</v>
      </c>
      <c r="AP125" s="3"/>
      <c r="AQ125" s="70">
        <f>HLOOKUP($Z124,AQ116:AU124,9)</f>
        <v>0</v>
      </c>
      <c r="AR125" s="35">
        <f>HLOOKUP(AR$116+30,Kostengegevens!$AK$74:$BN$135,Stappen!$AA125,FALSE)</f>
        <v>291.55250000022352</v>
      </c>
      <c r="AS125" s="42">
        <f>HLOOKUP(AS$116+30,Kostengegevens!$AK$74:$BN$135,Stappen!$AA125,FALSE)+AS68</f>
        <v>1249.8165589040018</v>
      </c>
      <c r="AT125" s="42">
        <f>HLOOKUP(AT$116+30,Kostengegevens!$AK$74:$BN$135,Stappen!$AA125,FALSE)+AT68</f>
        <v>1124.1139224999938</v>
      </c>
      <c r="AU125" s="3"/>
      <c r="AV125" s="70">
        <f>HLOOKUP($Z124,AV116:AZ124,9)</f>
        <v>0</v>
      </c>
      <c r="AW125" s="35">
        <f>HLOOKUP(AW$116+40,Kostengegevens!$AK$74:$BN$135,Stappen!$AA125,FALSE)</f>
        <v>2.0174999999944703</v>
      </c>
      <c r="AX125" s="42">
        <f>HLOOKUP(AX$116+40,Kostengegevens!$AK$74:$BN$135,Stappen!$AA125,FALSE)+AX68</f>
        <v>9.0580178082295504</v>
      </c>
      <c r="AY125" s="42">
        <f>HLOOKUP(AY$116+40,Kostengegevens!$AK$74:$BN$135,Stappen!$AA125,FALSE)+AY68</f>
        <v>27.351071249997858</v>
      </c>
      <c r="AZ125" s="3"/>
      <c r="BA125" s="70">
        <f>HLOOKUP($Z124,BA116:BE124,9)</f>
        <v>0</v>
      </c>
      <c r="BB125" s="35">
        <f>HLOOKUP(BB$116+50,Kostengegevens!$AK$74:$BN$135,Stappen!$AA125,FALSE)</f>
        <v>1.8625000000029104</v>
      </c>
      <c r="BC125" s="42">
        <f>HLOOKUP(BC$116+50,Kostengegevens!$AK$74:$BN$135,Stappen!$AA125,FALSE)+BC68</f>
        <v>5.8490773973004195</v>
      </c>
      <c r="BD125" s="42">
        <f>HLOOKUP(BD$116+50,Kostengegevens!$AK$74:$BN$135,Stappen!$AA125,FALSE)+BD68</f>
        <v>10.085430625025765</v>
      </c>
      <c r="BE125" s="3"/>
      <c r="BG125" s="2">
        <v>3</v>
      </c>
      <c r="BH125" s="57">
        <v>10</v>
      </c>
      <c r="BI125" s="35">
        <f>BJ125/BJ$26*BI$26</f>
        <v>65.887850467289724</v>
      </c>
      <c r="BJ125" s="56">
        <f>HLOOKUP(BJ$116,$BL$116:$BP$178,BH125,FALSE)*VLOOKUP($BG125,$BH$24:$BJ$46,3,FALSE)</f>
        <v>65.887850467289724</v>
      </c>
      <c r="BK125" s="47" t="s">
        <v>22</v>
      </c>
      <c r="BL125" s="102">
        <f>427/926</f>
        <v>0.4611231101511879</v>
      </c>
      <c r="BM125" s="102">
        <f>564/1284</f>
        <v>0.43925233644859812</v>
      </c>
      <c r="BN125" s="102">
        <f>228/298</f>
        <v>0.7651006711409396</v>
      </c>
      <c r="BO125" s="102">
        <f>584/1141</f>
        <v>0.5118317265556529</v>
      </c>
      <c r="BP125" s="102">
        <f>427/926</f>
        <v>0.4611231101511879</v>
      </c>
      <c r="BR125" s="2">
        <v>4</v>
      </c>
      <c r="BS125" s="2">
        <v>1</v>
      </c>
      <c r="BT125" s="2">
        <v>1</v>
      </c>
      <c r="BU125" s="2">
        <v>1</v>
      </c>
      <c r="CA125" s="503"/>
      <c r="CB125" s="502"/>
      <c r="CC125" s="426">
        <f t="shared" si="108"/>
        <v>0</v>
      </c>
      <c r="CD125" s="429">
        <f t="shared" si="109"/>
        <v>0</v>
      </c>
      <c r="CE125" s="459" t="s">
        <v>22</v>
      </c>
      <c r="CF125" s="460"/>
      <c r="CG125" s="503"/>
      <c r="CH125" s="502"/>
      <c r="CI125" s="426">
        <f t="shared" si="110"/>
        <v>0</v>
      </c>
      <c r="CJ125" s="429">
        <f t="shared" si="111"/>
        <v>0</v>
      </c>
      <c r="CK125" s="459" t="s">
        <v>22</v>
      </c>
      <c r="CL125" s="460"/>
      <c r="CM125" s="503"/>
      <c r="CN125" s="502"/>
      <c r="CO125" s="426">
        <f t="shared" si="112"/>
        <v>0</v>
      </c>
      <c r="CP125" s="429">
        <f t="shared" si="113"/>
        <v>0</v>
      </c>
      <c r="CQ125" s="459" t="s">
        <v>22</v>
      </c>
      <c r="CR125" s="460"/>
      <c r="CS125" s="503"/>
      <c r="CT125" s="502"/>
      <c r="CU125" s="426">
        <f t="shared" si="114"/>
        <v>0</v>
      </c>
      <c r="CV125" s="429">
        <f t="shared" si="115"/>
        <v>0</v>
      </c>
      <c r="CW125" s="459" t="s">
        <v>22</v>
      </c>
      <c r="CX125" s="460"/>
      <c r="CY125" s="503"/>
      <c r="CZ125" s="502"/>
      <c r="DA125" s="426"/>
      <c r="DB125" s="429"/>
      <c r="DC125" s="459"/>
      <c r="DD125" s="460"/>
    </row>
    <row r="126" spans="1:108" x14ac:dyDescent="0.2">
      <c r="A126" s="49"/>
      <c r="B126" s="33">
        <v>28</v>
      </c>
      <c r="C126" s="212" t="s">
        <v>299</v>
      </c>
      <c r="D126" s="503"/>
      <c r="E126" s="502"/>
      <c r="F126" s="426">
        <f t="shared" si="106"/>
        <v>150</v>
      </c>
      <c r="G126" s="429">
        <f t="shared" si="107"/>
        <v>150</v>
      </c>
      <c r="H126" s="459" t="s">
        <v>22</v>
      </c>
      <c r="I126" s="460"/>
      <c r="J126" s="156">
        <f t="shared" si="116"/>
        <v>3312.5331016573055</v>
      </c>
      <c r="K126" s="9">
        <f t="shared" si="90"/>
        <v>791.37664017832776</v>
      </c>
      <c r="L126" s="27">
        <f t="shared" si="91"/>
        <v>2170.2253576897192</v>
      </c>
      <c r="M126" s="12">
        <f t="shared" si="92"/>
        <v>31238.737125693158</v>
      </c>
      <c r="N126" s="9">
        <f t="shared" si="93"/>
        <v>258.6293871499322</v>
      </c>
      <c r="O126" s="27">
        <f t="shared" si="94"/>
        <v>204.75993991663302</v>
      </c>
      <c r="T126" s="91" t="str">
        <f>CONCATENATE("ref: ",Referentieproject!T126)</f>
        <v>ref: 1 woningbouw</v>
      </c>
      <c r="U126" s="263" t="s">
        <v>68</v>
      </c>
      <c r="V126" s="263" t="s">
        <v>77</v>
      </c>
      <c r="W126" s="263" t="s">
        <v>144</v>
      </c>
      <c r="X126" s="263" t="s">
        <v>92</v>
      </c>
      <c r="Y126" s="263" t="s">
        <v>62</v>
      </c>
      <c r="Z126" s="2">
        <f>IF(D206=T126,Referentieproject!Z126,IF(D206=U126,1,IF(D206=V126,2,IF(D206=W126,3,IF(D206=X126,4,5)))))</f>
        <v>1</v>
      </c>
      <c r="AA126" s="35">
        <f t="shared" si="95"/>
        <v>11</v>
      </c>
      <c r="AB126" s="35">
        <f>HLOOKUP(AB$116,Kostengegevens!$AK$74:$BN$135,Stappen!$AA126,FALSE)</f>
        <v>22.083554011048705</v>
      </c>
      <c r="AC126" s="35">
        <f>HLOOKUP(AC$116,Kostengegevens!$AK$74:$BN$135,Stappen!$AA126,FALSE)</f>
        <v>78.907974999963756</v>
      </c>
      <c r="AD126" s="35">
        <f>HLOOKUP(AD$116,Kostengegevens!$AK$74:$BN$135,Stappen!$AA126,FALSE)</f>
        <v>82.041613212445441</v>
      </c>
      <c r="AE126" s="35">
        <f>HLOOKUP(AE$116,Kostengegevens!$AK$74:$BN$135,Stappen!$AA126,FALSE)</f>
        <v>79.915199999991955</v>
      </c>
      <c r="AF126" s="3"/>
      <c r="AG126" s="35">
        <f>HLOOKUP(AG$116+10,Kostengegevens!$AK$74:$BN$135,Stappen!$AA126,FALSE)</f>
        <v>5.2758442678555184</v>
      </c>
      <c r="AH126" s="35">
        <f>HLOOKUP(AH$116+10,Kostengegevens!$AK$74:$BN$135,Stappen!$AA126,FALSE)</f>
        <v>43.962175000005828</v>
      </c>
      <c r="AI126" s="35">
        <f>HLOOKUP(AI$116+10,Kostengegevens!$AK$74:$BN$135,Stappen!$AA126,FALSE)</f>
        <v>22.307756476683039</v>
      </c>
      <c r="AJ126" s="35">
        <f>HLOOKUP(AJ$116+10,Kostengegevens!$AK$74:$BN$135,Stappen!$AA126,FALSE)</f>
        <v>22.286709677422607</v>
      </c>
      <c r="AK126" s="3"/>
      <c r="AL126" s="35">
        <f>HLOOKUP(AL$116+20,Kostengegevens!$AK$74:$BN$135,Stappen!$AA126,FALSE)</f>
        <v>14.468169051264795</v>
      </c>
      <c r="AM126" s="35">
        <f>HLOOKUP(AM$116+20,Kostengegevens!$AK$74:$BN$135,Stappen!$AA126,FALSE)</f>
        <v>21.921425000017052</v>
      </c>
      <c r="AN126" s="35">
        <f>HLOOKUP(AN$116+20,Kostengegevens!$AK$74:$BN$135,Stappen!$AA126,FALSE)</f>
        <v>58.410942227971191</v>
      </c>
      <c r="AO126" s="35">
        <f>HLOOKUP(AO$116+20,Kostengegevens!$AK$74:$BN$135,Stappen!$AA126,FALSE)</f>
        <v>63.313703225799372</v>
      </c>
      <c r="AP126" s="3"/>
      <c r="AQ126" s="35">
        <f>HLOOKUP(AQ$116+30,Kostengegevens!$AK$74:$BN$135,Stappen!$AA126,FALSE)</f>
        <v>208.25824750462107</v>
      </c>
      <c r="AR126" s="35">
        <f>HLOOKUP(AR$116+30,Kostengegevens!$AK$74:$BN$135,Stappen!$AA126,FALSE)</f>
        <v>161.95459999965533</v>
      </c>
      <c r="AS126" s="35">
        <f>HLOOKUP(AS$116+30,Kostengegevens!$AK$74:$BN$135,Stappen!$AA126,FALSE)</f>
        <v>838.91298056985215</v>
      </c>
      <c r="AT126" s="35">
        <f>HLOOKUP(AT$116+30,Kostengegevens!$AK$74:$BN$135,Stappen!$AA126,FALSE)</f>
        <v>947.28464516124404</v>
      </c>
      <c r="AU126" s="3"/>
      <c r="AV126" s="35">
        <f>HLOOKUP(AV$116+40,Kostengegevens!$AK$74:$BN$135,Stappen!$AA126,FALSE)</f>
        <v>1.7241959143328813</v>
      </c>
      <c r="AW126" s="35">
        <f>HLOOKUP(AW$116+40,Kostengegevens!$AK$74:$BN$135,Stappen!$AA126,FALSE)</f>
        <v>1.5819000000034293</v>
      </c>
      <c r="AX126" s="35">
        <f>HLOOKUP(AX$116+40,Kostengegevens!$AK$74:$BN$135,Stappen!$AA126,FALSE)</f>
        <v>8.129826943005213</v>
      </c>
      <c r="AY126" s="35">
        <f>HLOOKUP(AY$116+40,Kostengegevens!$AK$74:$BN$135,Stappen!$AA126,FALSE)</f>
        <v>6.5413161290325945</v>
      </c>
      <c r="AZ126" s="3"/>
      <c r="BA126" s="35">
        <f>HLOOKUP(BA$116+50,Kostengegevens!$AK$74:$BN$135,Stappen!$AA126,FALSE)</f>
        <v>1.3650662661108868</v>
      </c>
      <c r="BB126" s="35">
        <f>HLOOKUP(BB$116+50,Kostengegevens!$AK$74:$BN$135,Stappen!$AA126,FALSE)</f>
        <v>7.1728499999977089</v>
      </c>
      <c r="BC126" s="35">
        <f>HLOOKUP(BC$116+50,Kostengegevens!$AK$74:$BN$135,Stappen!$AA126,FALSE)</f>
        <v>5.5469313471518262</v>
      </c>
      <c r="BD126" s="35">
        <f>HLOOKUP(BD$116+50,Kostengegevens!$AK$74:$BN$135,Stappen!$AA126,FALSE)</f>
        <v>6.2466580645169216</v>
      </c>
      <c r="BE126" s="3"/>
      <c r="BG126" s="2">
        <v>3</v>
      </c>
      <c r="BH126" s="57">
        <v>11</v>
      </c>
      <c r="BI126" s="35">
        <f>BJ126/BJ$26*BI$26</f>
        <v>150</v>
      </c>
      <c r="BJ126" s="56">
        <f>HLOOKUP(BJ$116,$BL$116:$BP$178,BH126,FALSE)*VLOOKUP($BG126,$BH$24:$BJ$46,3,FALSE)</f>
        <v>150</v>
      </c>
      <c r="BK126" s="47" t="s">
        <v>22</v>
      </c>
      <c r="BL126" s="102">
        <f>926/926</f>
        <v>1</v>
      </c>
      <c r="BM126" s="102">
        <f>1284/1284</f>
        <v>1</v>
      </c>
      <c r="BN126" s="102">
        <f>926/926</f>
        <v>1</v>
      </c>
      <c r="BO126" s="102">
        <f>1141/1141</f>
        <v>1</v>
      </c>
      <c r="BP126" s="102">
        <f>926/926</f>
        <v>1</v>
      </c>
      <c r="BR126" s="2">
        <v>1</v>
      </c>
      <c r="BS126" s="2">
        <v>1</v>
      </c>
      <c r="BT126" s="2">
        <v>3</v>
      </c>
      <c r="BU126" s="2">
        <v>3</v>
      </c>
      <c r="CA126" s="503"/>
      <c r="CB126" s="502"/>
      <c r="CC126" s="426">
        <f t="shared" si="108"/>
        <v>0</v>
      </c>
      <c r="CD126" s="429">
        <f t="shared" si="109"/>
        <v>0</v>
      </c>
      <c r="CE126" s="459" t="s">
        <v>22</v>
      </c>
      <c r="CF126" s="460"/>
      <c r="CG126" s="503"/>
      <c r="CH126" s="502"/>
      <c r="CI126" s="426">
        <f t="shared" si="110"/>
        <v>0</v>
      </c>
      <c r="CJ126" s="429">
        <f t="shared" si="111"/>
        <v>0</v>
      </c>
      <c r="CK126" s="459" t="s">
        <v>22</v>
      </c>
      <c r="CL126" s="460"/>
      <c r="CM126" s="503"/>
      <c r="CN126" s="502"/>
      <c r="CO126" s="426">
        <f t="shared" si="112"/>
        <v>0</v>
      </c>
      <c r="CP126" s="429">
        <f t="shared" si="113"/>
        <v>0</v>
      </c>
      <c r="CQ126" s="459" t="s">
        <v>22</v>
      </c>
      <c r="CR126" s="460"/>
      <c r="CS126" s="503"/>
      <c r="CT126" s="502"/>
      <c r="CU126" s="426">
        <f t="shared" si="114"/>
        <v>0</v>
      </c>
      <c r="CV126" s="429">
        <f t="shared" si="115"/>
        <v>0</v>
      </c>
      <c r="CW126" s="459" t="s">
        <v>22</v>
      </c>
      <c r="CX126" s="460"/>
      <c r="CY126" s="503"/>
      <c r="CZ126" s="502"/>
      <c r="DA126" s="426"/>
      <c r="DB126" s="429"/>
      <c r="DC126" s="459"/>
      <c r="DD126" s="460"/>
    </row>
    <row r="127" spans="1:108" x14ac:dyDescent="0.2">
      <c r="A127" s="1" t="s">
        <v>165</v>
      </c>
      <c r="C127" s="211" t="s">
        <v>60</v>
      </c>
      <c r="D127" s="501"/>
      <c r="E127" s="502"/>
      <c r="F127" s="504"/>
      <c r="G127" s="505"/>
      <c r="H127" s="459"/>
      <c r="I127" s="460"/>
      <c r="J127" s="156"/>
      <c r="K127" s="9"/>
      <c r="L127" s="27"/>
      <c r="M127" s="12"/>
      <c r="N127" s="9"/>
      <c r="O127" s="27"/>
      <c r="P127" s="84"/>
      <c r="T127" s="91"/>
      <c r="U127" s="263"/>
      <c r="V127" s="263"/>
      <c r="W127" s="263"/>
      <c r="X127" s="263"/>
      <c r="Y127" s="263"/>
      <c r="AA127" s="35">
        <f t="shared" si="95"/>
        <v>12</v>
      </c>
      <c r="AB127" s="35">
        <f>HLOOKUP(AB$116,Kostengegevens!$AK$74:$BN$135,Stappen!$AA127,FALSE)</f>
        <v>0</v>
      </c>
      <c r="AC127" s="35">
        <f>HLOOKUP(AC$116,Kostengegevens!$AK$74:$BN$135,Stappen!$AA127,FALSE)</f>
        <v>0</v>
      </c>
      <c r="AD127" s="35">
        <f>HLOOKUP(AD$116,Kostengegevens!$AK$74:$BN$135,Stappen!$AA127,FALSE)</f>
        <v>0</v>
      </c>
      <c r="AE127" s="35">
        <f>HLOOKUP(AE$116,Kostengegevens!$AK$74:$BN$135,Stappen!$AA127,FALSE)</f>
        <v>0</v>
      </c>
      <c r="AF127" s="3"/>
      <c r="AG127" s="35">
        <f>HLOOKUP(AG$116+10,Kostengegevens!$AK$74:$BN$135,Stappen!$AA127,FALSE)</f>
        <v>0</v>
      </c>
      <c r="AH127" s="35">
        <f>HLOOKUP(AH$116+10,Kostengegevens!$AK$74:$BN$135,Stappen!$AA127,FALSE)</f>
        <v>0</v>
      </c>
      <c r="AI127" s="35">
        <f>HLOOKUP(AI$116+10,Kostengegevens!$AK$74:$BN$135,Stappen!$AA127,FALSE)</f>
        <v>0</v>
      </c>
      <c r="AJ127" s="35">
        <f>HLOOKUP(AJ$116+10,Kostengegevens!$AK$74:$BN$135,Stappen!$AA127,FALSE)</f>
        <v>0</v>
      </c>
      <c r="AK127" s="3"/>
      <c r="AL127" s="35">
        <f>HLOOKUP(AL$116+20,Kostengegevens!$AK$74:$BN$135,Stappen!$AA127,FALSE)</f>
        <v>0</v>
      </c>
      <c r="AM127" s="35">
        <f>HLOOKUP(AM$116+20,Kostengegevens!$AK$74:$BN$135,Stappen!$AA127,FALSE)</f>
        <v>0</v>
      </c>
      <c r="AN127" s="35">
        <f>HLOOKUP(AN$116+20,Kostengegevens!$AK$74:$BN$135,Stappen!$AA127,FALSE)</f>
        <v>0</v>
      </c>
      <c r="AO127" s="35">
        <f>HLOOKUP(AO$116+20,Kostengegevens!$AK$74:$BN$135,Stappen!$AA127,FALSE)</f>
        <v>0</v>
      </c>
      <c r="AP127" s="3"/>
      <c r="AQ127" s="35">
        <f>HLOOKUP(AQ$116+30,Kostengegevens!$AK$74:$BN$135,Stappen!$AA127,FALSE)</f>
        <v>0</v>
      </c>
      <c r="AR127" s="35">
        <f>HLOOKUP(AR$116+30,Kostengegevens!$AK$74:$BN$135,Stappen!$AA127,FALSE)</f>
        <v>0</v>
      </c>
      <c r="AS127" s="35">
        <f>HLOOKUP(AS$116+30,Kostengegevens!$AK$74:$BN$135,Stappen!$AA127,FALSE)</f>
        <v>0</v>
      </c>
      <c r="AT127" s="35">
        <f>HLOOKUP(AT$116+30,Kostengegevens!$AK$74:$BN$135,Stappen!$AA127,FALSE)</f>
        <v>0</v>
      </c>
      <c r="AU127" s="3"/>
      <c r="AV127" s="35">
        <f>HLOOKUP(AV$116+40,Kostengegevens!$AK$74:$BN$135,Stappen!$AA127,FALSE)</f>
        <v>0</v>
      </c>
      <c r="AW127" s="35">
        <f>HLOOKUP(AW$116+40,Kostengegevens!$AK$74:$BN$135,Stappen!$AA127,FALSE)</f>
        <v>0</v>
      </c>
      <c r="AX127" s="35">
        <f>HLOOKUP(AX$116+40,Kostengegevens!$AK$74:$BN$135,Stappen!$AA127,FALSE)</f>
        <v>0</v>
      </c>
      <c r="AY127" s="35">
        <f>HLOOKUP(AY$116+40,Kostengegevens!$AK$74:$BN$135,Stappen!$AA127,FALSE)</f>
        <v>0</v>
      </c>
      <c r="AZ127" s="3"/>
      <c r="BA127" s="35">
        <f>HLOOKUP(BA$116+50,Kostengegevens!$AK$74:$BN$135,Stappen!$AA127,FALSE)</f>
        <v>0</v>
      </c>
      <c r="BB127" s="35">
        <f>HLOOKUP(BB$116+50,Kostengegevens!$AK$74:$BN$135,Stappen!$AA127,FALSE)</f>
        <v>0</v>
      </c>
      <c r="BC127" s="35">
        <f>HLOOKUP(BC$116+50,Kostengegevens!$AK$74:$BN$135,Stappen!$AA127,FALSE)</f>
        <v>0</v>
      </c>
      <c r="BD127" s="35">
        <f>HLOOKUP(BD$116+50,Kostengegevens!$AK$74:$BN$135,Stappen!$AA127,FALSE)</f>
        <v>0</v>
      </c>
      <c r="BE127" s="3"/>
      <c r="BH127" s="57">
        <v>12</v>
      </c>
      <c r="BI127" s="53"/>
      <c r="BJ127" s="56"/>
      <c r="BK127" s="47"/>
      <c r="BL127" s="102"/>
      <c r="BM127" s="102"/>
      <c r="BN127" s="102"/>
      <c r="BO127" s="102"/>
      <c r="BP127" s="102"/>
      <c r="CA127" s="501"/>
      <c r="CB127" s="502"/>
      <c r="CC127" s="504"/>
      <c r="CD127" s="505"/>
      <c r="CE127" s="459"/>
      <c r="CF127" s="460"/>
      <c r="CG127" s="501"/>
      <c r="CH127" s="502"/>
      <c r="CI127" s="504"/>
      <c r="CJ127" s="505"/>
      <c r="CK127" s="459"/>
      <c r="CL127" s="460"/>
      <c r="CM127" s="501"/>
      <c r="CN127" s="502"/>
      <c r="CO127" s="504"/>
      <c r="CP127" s="505"/>
      <c r="CQ127" s="459"/>
      <c r="CR127" s="460"/>
      <c r="CS127" s="501"/>
      <c r="CT127" s="502"/>
      <c r="CU127" s="504"/>
      <c r="CV127" s="505"/>
      <c r="CW127" s="459"/>
      <c r="CX127" s="460"/>
      <c r="CY127" s="501"/>
      <c r="CZ127" s="502"/>
      <c r="DA127" s="504"/>
      <c r="DB127" s="505"/>
      <c r="DC127" s="459"/>
      <c r="DD127" s="460"/>
    </row>
    <row r="128" spans="1:108" x14ac:dyDescent="0.2">
      <c r="A128" s="49"/>
      <c r="B128" s="33">
        <v>27</v>
      </c>
      <c r="C128" s="212" t="s">
        <v>300</v>
      </c>
      <c r="D128" s="503"/>
      <c r="E128" s="502"/>
      <c r="F128" s="426">
        <f t="shared" ref="F128:F130" si="117">BI128</f>
        <v>60.280373831775698</v>
      </c>
      <c r="G128" s="429">
        <f t="shared" ref="G128:G130" si="118">BJ128</f>
        <v>60.280373831775698</v>
      </c>
      <c r="H128" s="459" t="s">
        <v>22</v>
      </c>
      <c r="I128" s="460"/>
      <c r="J128" s="156">
        <f t="shared" si="116"/>
        <v>0</v>
      </c>
      <c r="K128" s="9">
        <f t="shared" si="90"/>
        <v>0</v>
      </c>
      <c r="L128" s="27">
        <f t="shared" si="91"/>
        <v>0</v>
      </c>
      <c r="M128" s="12">
        <f t="shared" si="92"/>
        <v>0</v>
      </c>
      <c r="N128" s="9">
        <f t="shared" si="93"/>
        <v>0</v>
      </c>
      <c r="O128" s="27">
        <f t="shared" si="94"/>
        <v>0</v>
      </c>
      <c r="T128" s="91" t="str">
        <f>CONCATENATE("ref: ",Referentieproject!T128)</f>
        <v>ref: 1 eenvoudige daktrimmen</v>
      </c>
      <c r="U128" s="263" t="s">
        <v>69</v>
      </c>
      <c r="V128" s="263" t="s">
        <v>78</v>
      </c>
      <c r="W128" s="263" t="s">
        <v>88</v>
      </c>
      <c r="X128" s="263" t="s">
        <v>93</v>
      </c>
      <c r="Y128" s="263" t="s">
        <v>62</v>
      </c>
      <c r="Z128" s="2">
        <f>IF(D208=T128,Referentieproject!Z128,IF(D208=U128,1,IF(D208=V128,2,IF(D208=W128,3,IF(D208=X128,4,5)))))</f>
        <v>5</v>
      </c>
      <c r="AA128" s="35">
        <f t="shared" si="95"/>
        <v>13</v>
      </c>
      <c r="AB128" s="35">
        <f>HLOOKUP(AB$116,Kostengegevens!$AK$74:$BN$135,Stappen!$AA128,FALSE)</f>
        <v>16.371814537044997</v>
      </c>
      <c r="AC128" s="35">
        <f>HLOOKUP(AC$116,Kostengegevens!$AK$74:$BN$135,Stappen!$AA128,FALSE)</f>
        <v>49.632269475316207</v>
      </c>
      <c r="AD128" s="35">
        <f>HLOOKUP(AD$116,Kostengegevens!$AK$74:$BN$135,Stappen!$AA128,FALSE)</f>
        <v>34.924653888903777</v>
      </c>
      <c r="AE128" s="35">
        <f>HLOOKUP(AE$116,Kostengegevens!$AK$74:$BN$135,Stappen!$AA128,FALSE)</f>
        <v>95.785105583369955</v>
      </c>
      <c r="AF128" s="3"/>
      <c r="AG128" s="35">
        <f>HLOOKUP(AG$116+10,Kostengegevens!$AK$74:$BN$135,Stappen!$AA128,FALSE)</f>
        <v>4.4310117515405523</v>
      </c>
      <c r="AH128" s="35">
        <f>HLOOKUP(AH$116+10,Kostengegevens!$AK$74:$BN$135,Stappen!$AA128,FALSE)</f>
        <v>12.064479128099379</v>
      </c>
      <c r="AI128" s="35">
        <f>HLOOKUP(AI$116+10,Kostengegevens!$AK$74:$BN$135,Stappen!$AA128,FALSE)</f>
        <v>6.7599490972168041</v>
      </c>
      <c r="AJ128" s="35">
        <f>HLOOKUP(AJ$116+10,Kostengegevens!$AK$74:$BN$135,Stappen!$AA128,FALSE)</f>
        <v>22.200523055568823</v>
      </c>
      <c r="AK128" s="3"/>
      <c r="AL128" s="35">
        <f>HLOOKUP(AL$116+20,Kostengegevens!$AK$74:$BN$135,Stappen!$AA128,FALSE)</f>
        <v>8.0042220602053931</v>
      </c>
      <c r="AM128" s="35">
        <f>HLOOKUP(AM$116+20,Kostengegevens!$AK$74:$BN$135,Stappen!$AA128,FALSE)</f>
        <v>32.215042237648959</v>
      </c>
      <c r="AN128" s="35">
        <f>HLOOKUP(AN$116+20,Kostengegevens!$AK$74:$BN$135,Stappen!$AA128,FALSE)</f>
        <v>19.35009520835365</v>
      </c>
      <c r="AO128" s="35">
        <f>HLOOKUP(AO$116+20,Kostengegevens!$AK$74:$BN$135,Stappen!$AA128,FALSE)</f>
        <v>67.014060444429447</v>
      </c>
      <c r="AP128" s="3"/>
      <c r="AQ128" s="35">
        <f>HLOOKUP(AQ$116+30,Kostengegevens!$AK$74:$BN$135,Stappen!$AA128,FALSE)</f>
        <v>113.33332782421803</v>
      </c>
      <c r="AR128" s="35">
        <f>HLOOKUP(AR$116+30,Kostengegevens!$AK$74:$BN$135,Stappen!$AA128,FALSE)</f>
        <v>246.3651990353037</v>
      </c>
      <c r="AS128" s="35">
        <f>HLOOKUP(AS$116+30,Kostengegevens!$AK$74:$BN$135,Stappen!$AA128,FALSE)</f>
        <v>166.27905513904443</v>
      </c>
      <c r="AT128" s="35">
        <f>HLOOKUP(AT$116+30,Kostengegevens!$AK$74:$BN$135,Stappen!$AA128,FALSE)</f>
        <v>430.0606681943309</v>
      </c>
      <c r="AU128" s="3"/>
      <c r="AV128" s="35">
        <f>HLOOKUP(AV$116+40,Kostengegevens!$AK$74:$BN$135,Stappen!$AA128,FALSE)</f>
        <v>2.5860253317906654</v>
      </c>
      <c r="AW128" s="35">
        <f>HLOOKUP(AW$116+40,Kostengegevens!$AK$74:$BN$135,Stappen!$AA128,FALSE)</f>
        <v>22.311674799382303</v>
      </c>
      <c r="AX128" s="35">
        <f>HLOOKUP(AX$116+40,Kostengegevens!$AK$74:$BN$135,Stappen!$AA128,FALSE)</f>
        <v>10.827737986110179</v>
      </c>
      <c r="AY128" s="35">
        <f>HLOOKUP(AY$116+40,Kostengegevens!$AK$74:$BN$135,Stappen!$AA128,FALSE)</f>
        <v>44.253120861108158</v>
      </c>
      <c r="AZ128" s="3"/>
      <c r="BA128" s="35">
        <f>HLOOKUP(BA$116+50,Kostengegevens!$AK$74:$BN$135,Stappen!$AA128,FALSE)</f>
        <v>2.6886276851815296</v>
      </c>
      <c r="BB128" s="35">
        <f>HLOOKUP(BB$116+50,Kostengegevens!$AK$74:$BN$135,Stappen!$AA128,FALSE)</f>
        <v>3.5503682685207423</v>
      </c>
      <c r="BC128" s="35">
        <f>HLOOKUP(BC$116+50,Kostengegevens!$AK$74:$BN$135,Stappen!$AA128,FALSE)</f>
        <v>2.6006161111143626</v>
      </c>
      <c r="BD128" s="35">
        <f>HLOOKUP(BD$116+50,Kostengegevens!$AK$74:$BN$135,Stappen!$AA128,FALSE)</f>
        <v>4.2764362222207382</v>
      </c>
      <c r="BE128" s="3"/>
      <c r="BG128" s="2">
        <v>4</v>
      </c>
      <c r="BH128" s="57">
        <v>13</v>
      </c>
      <c r="BI128" s="35">
        <f>BJ128/BJ$27*BI$27</f>
        <v>60.280373831775698</v>
      </c>
      <c r="BJ128" s="56">
        <f>HLOOKUP(BJ$116,$BL$116:$BP$178,BH128,FALSE)*VLOOKUP($BG128,$BH$24:$BJ$46,3,FALSE)</f>
        <v>60.280373831775698</v>
      </c>
      <c r="BK128" s="47" t="s">
        <v>22</v>
      </c>
      <c r="BL128" s="102">
        <f>427/436</f>
        <v>0.97935779816513757</v>
      </c>
      <c r="BM128" s="102">
        <f>516/516</f>
        <v>1</v>
      </c>
      <c r="BN128" s="102">
        <v>1</v>
      </c>
      <c r="BO128" s="102">
        <f>617/624</f>
        <v>0.98878205128205132</v>
      </c>
      <c r="BP128" s="102">
        <f>427/436</f>
        <v>0.97935779816513757</v>
      </c>
      <c r="BR128" s="2">
        <v>3</v>
      </c>
      <c r="BS128" s="2">
        <v>1</v>
      </c>
      <c r="BT128" s="2">
        <v>2</v>
      </c>
      <c r="BU128" s="2">
        <v>2</v>
      </c>
      <c r="CA128" s="503"/>
      <c r="CB128" s="502"/>
      <c r="CC128" s="426">
        <f t="shared" ref="CC128:CC130" si="119">EF128</f>
        <v>0</v>
      </c>
      <c r="CD128" s="429">
        <f t="shared" ref="CD128:CD130" si="120">EG128</f>
        <v>0</v>
      </c>
      <c r="CE128" s="459" t="s">
        <v>22</v>
      </c>
      <c r="CF128" s="460"/>
      <c r="CG128" s="503"/>
      <c r="CH128" s="502"/>
      <c r="CI128" s="426">
        <f t="shared" ref="CI128:CI130" si="121">EL128</f>
        <v>0</v>
      </c>
      <c r="CJ128" s="429">
        <f t="shared" ref="CJ128:CJ130" si="122">EM128</f>
        <v>0</v>
      </c>
      <c r="CK128" s="459" t="s">
        <v>22</v>
      </c>
      <c r="CL128" s="460"/>
      <c r="CM128" s="503"/>
      <c r="CN128" s="502"/>
      <c r="CO128" s="426">
        <f t="shared" ref="CO128:CO130" si="123">ER128</f>
        <v>0</v>
      </c>
      <c r="CP128" s="429">
        <f t="shared" ref="CP128:CP130" si="124">ES128</f>
        <v>0</v>
      </c>
      <c r="CQ128" s="459" t="s">
        <v>22</v>
      </c>
      <c r="CR128" s="460"/>
      <c r="CS128" s="503"/>
      <c r="CT128" s="502"/>
      <c r="CU128" s="426">
        <f t="shared" ref="CU128:CU130" si="125">EX128</f>
        <v>0</v>
      </c>
      <c r="CV128" s="429">
        <f t="shared" ref="CV128:CV130" si="126">EY128</f>
        <v>0</v>
      </c>
      <c r="CW128" s="459" t="s">
        <v>22</v>
      </c>
      <c r="CX128" s="460"/>
      <c r="CY128" s="503"/>
      <c r="CZ128" s="502"/>
      <c r="DA128" s="426"/>
      <c r="DB128" s="429"/>
      <c r="DC128" s="459"/>
      <c r="DD128" s="460"/>
    </row>
    <row r="129" spans="1:108" x14ac:dyDescent="0.2">
      <c r="A129" s="49"/>
      <c r="B129" s="33">
        <v>37</v>
      </c>
      <c r="C129" s="212" t="s">
        <v>268</v>
      </c>
      <c r="D129" s="503"/>
      <c r="E129" s="502"/>
      <c r="F129" s="426">
        <f t="shared" si="117"/>
        <v>0.17523364485981308</v>
      </c>
      <c r="G129" s="429">
        <f t="shared" si="118"/>
        <v>0.17523364485981308</v>
      </c>
      <c r="H129" s="459" t="s">
        <v>22</v>
      </c>
      <c r="I129" s="460"/>
      <c r="J129" s="156">
        <f t="shared" si="116"/>
        <v>0</v>
      </c>
      <c r="K129" s="9">
        <f t="shared" si="90"/>
        <v>0</v>
      </c>
      <c r="L129" s="27">
        <f t="shared" si="91"/>
        <v>0</v>
      </c>
      <c r="M129" s="12">
        <f t="shared" si="92"/>
        <v>0</v>
      </c>
      <c r="N129" s="9">
        <f t="shared" si="93"/>
        <v>0</v>
      </c>
      <c r="O129" s="27">
        <f t="shared" si="94"/>
        <v>0</v>
      </c>
      <c r="T129" s="91" t="str">
        <f>CONCATENATE("ref: ",Referentieproject!T129)</f>
        <v>ref: 3 dakluiken</v>
      </c>
      <c r="U129" s="99" t="s">
        <v>70</v>
      </c>
      <c r="V129" s="99" t="s">
        <v>79</v>
      </c>
      <c r="W129" s="263" t="s">
        <v>89</v>
      </c>
      <c r="X129" s="263" t="s">
        <v>352</v>
      </c>
      <c r="Y129" s="263" t="s">
        <v>62</v>
      </c>
      <c r="Z129" s="2">
        <f>IF(D209=T129,Referentieproject!Z129,IF(D209=U129,1,IF(D209=V129,2,IF(D209=W129,3,IF(D209=X129,4,5)))))</f>
        <v>5</v>
      </c>
      <c r="AA129" s="35">
        <f t="shared" si="95"/>
        <v>14</v>
      </c>
      <c r="AB129" s="42">
        <f>HLOOKUP(AB$116,Kostengegevens!$AK$74:$BN$135,Stappen!$AA129,FALSE)+AB69</f>
        <v>475.98420000006456</v>
      </c>
      <c r="AC129" s="42">
        <f>HLOOKUP(AC$116,Kostengegevens!$AK$74:$BN$135,Stappen!$AA129,FALSE)+AC69</f>
        <v>720.37888888890541</v>
      </c>
      <c r="AD129" s="35">
        <f>HLOOKUP(AD$116,Kostengegevens!$AK$74:$BN$135,Stappen!$AA129,FALSE)</f>
        <v>662.38840000005439</v>
      </c>
      <c r="AE129" s="35">
        <f>HLOOKUP(AE$116,Kostengegevens!$AK$74:$BN$135,Stappen!$AA129,FALSE)</f>
        <v>0</v>
      </c>
      <c r="AF129" s="3"/>
      <c r="AG129" s="42">
        <f>HLOOKUP(AG$116+10,Kostengegevens!$AK$74:$BN$135,Stappen!$AA129,FALSE)+AG69</f>
        <v>110.06224999998813</v>
      </c>
      <c r="AH129" s="42">
        <f>HLOOKUP(AH$116+10,Kostengegevens!$AK$74:$BN$135,Stappen!$AA129,FALSE)+AH69</f>
        <v>163.33611111117841</v>
      </c>
      <c r="AI129" s="35">
        <f>HLOOKUP(AI$116+10,Kostengegevens!$AK$74:$BN$135,Stappen!$AA129,FALSE)</f>
        <v>97.054500000027474</v>
      </c>
      <c r="AJ129" s="35">
        <f>HLOOKUP(AJ$116+10,Kostengegevens!$AK$74:$BN$135,Stappen!$AA129,FALSE)</f>
        <v>0</v>
      </c>
      <c r="AK129" s="3"/>
      <c r="AL129" s="42">
        <f>HLOOKUP(AL$116+20,Kostengegevens!$AK$74:$BN$135,Stappen!$AA129,FALSE)+AL69</f>
        <v>359.48919999995269</v>
      </c>
      <c r="AM129" s="42">
        <f>HLOOKUP(AM$116+20,Kostengegevens!$AK$74:$BN$135,Stappen!$AA129,FALSE)+AM69</f>
        <v>414.01222222200067</v>
      </c>
      <c r="AN129" s="35">
        <f>HLOOKUP(AN$116+20,Kostengegevens!$AK$74:$BN$135,Stappen!$AA129,FALSE)</f>
        <v>302.86340000003111</v>
      </c>
      <c r="AO129" s="35">
        <f>HLOOKUP(AO$116+20,Kostengegevens!$AK$74:$BN$135,Stappen!$AA129,FALSE)</f>
        <v>0</v>
      </c>
      <c r="AP129" s="3"/>
      <c r="AQ129" s="42">
        <f>HLOOKUP(AQ$116+30,Kostengegevens!$AK$74:$BN$135,Stappen!$AA129,FALSE)+AQ69</f>
        <v>4694.2072500009081</v>
      </c>
      <c r="AR129" s="42">
        <f>HLOOKUP(AR$116+30,Kostengegevens!$AK$74:$BN$135,Stappen!$AA129,FALSE)+AR69</f>
        <v>3367.7861111093735</v>
      </c>
      <c r="AS129" s="35">
        <f>HLOOKUP(AS$116+30,Kostengegevens!$AK$74:$BN$135,Stappen!$AA129,FALSE)</f>
        <v>2451.0544999986887</v>
      </c>
      <c r="AT129" s="35">
        <f>HLOOKUP(AT$116+30,Kostengegevens!$AK$74:$BN$135,Stappen!$AA129,FALSE)</f>
        <v>0</v>
      </c>
      <c r="AU129" s="3"/>
      <c r="AV129" s="42">
        <f>HLOOKUP(AV$116+40,Kostengegevens!$AK$74:$BN$135,Stappen!$AA129,FALSE)+AV69</f>
        <v>113.10919999999169</v>
      </c>
      <c r="AW129" s="42">
        <f>HLOOKUP(AW$116+40,Kostengegevens!$AK$74:$BN$135,Stappen!$AA129,FALSE)+AW69</f>
        <v>222.65111111110954</v>
      </c>
      <c r="AX129" s="35">
        <f>HLOOKUP(AX$116+40,Kostengegevens!$AK$74:$BN$135,Stappen!$AA129,FALSE)</f>
        <v>182.1533999999665</v>
      </c>
      <c r="AY129" s="35">
        <f>HLOOKUP(AY$116+40,Kostengegevens!$AK$74:$BN$135,Stappen!$AA129,FALSE)</f>
        <v>0</v>
      </c>
      <c r="AZ129" s="3"/>
      <c r="BA129" s="42">
        <f>HLOOKUP(BA$116+50,Kostengegevens!$AK$74:$BN$135,Stappen!$AA129,FALSE)+BA69</f>
        <v>41.0625</v>
      </c>
      <c r="BB129" s="42">
        <f>HLOOKUP(BB$116+50,Kostengegevens!$AK$74:$BN$135,Stappen!$AA129,FALSE)+BB69</f>
        <v>32.56597222223516</v>
      </c>
      <c r="BC129" s="35">
        <f>HLOOKUP(BC$116+50,Kostengegevens!$AK$74:$BN$135,Stappen!$AA129,FALSE)</f>
        <v>23.537499999976717</v>
      </c>
      <c r="BD129" s="35">
        <f>HLOOKUP(BD$116+50,Kostengegevens!$AK$74:$BN$135,Stappen!$AA129,FALSE)</f>
        <v>0</v>
      </c>
      <c r="BE129" s="3"/>
      <c r="BG129" s="2">
        <v>4</v>
      </c>
      <c r="BH129" s="57">
        <v>14</v>
      </c>
      <c r="BI129" s="35">
        <f>BJ129/BJ$27*BI$27</f>
        <v>0.17523364485981308</v>
      </c>
      <c r="BJ129" s="56">
        <f>HLOOKUP(BJ$116,$BL$116:$BP$178,BH129,FALSE)*VLOOKUP($BG129,$BH$24:$BJ$46,3,FALSE)</f>
        <v>0.17523364485981308</v>
      </c>
      <c r="BK129" s="47" t="s">
        <v>22</v>
      </c>
      <c r="BL129" s="102">
        <f>9/436</f>
        <v>2.0642201834862386E-2</v>
      </c>
      <c r="BM129" s="102">
        <f>1.5/516</f>
        <v>2.9069767441860465E-3</v>
      </c>
      <c r="BN129" s="102">
        <f>1/265</f>
        <v>3.7735849056603774E-3</v>
      </c>
      <c r="BO129" s="102">
        <f>7/624</f>
        <v>1.1217948717948718E-2</v>
      </c>
      <c r="BP129" s="102">
        <f>9/436</f>
        <v>2.0642201834862386E-2</v>
      </c>
      <c r="BR129" s="2">
        <v>2</v>
      </c>
      <c r="BS129" s="2">
        <v>3</v>
      </c>
      <c r="BT129" s="2">
        <v>3</v>
      </c>
      <c r="BU129" s="2">
        <v>3</v>
      </c>
      <c r="CA129" s="503"/>
      <c r="CB129" s="502"/>
      <c r="CC129" s="426">
        <f t="shared" si="119"/>
        <v>0</v>
      </c>
      <c r="CD129" s="429">
        <f t="shared" si="120"/>
        <v>0</v>
      </c>
      <c r="CE129" s="459" t="s">
        <v>22</v>
      </c>
      <c r="CF129" s="460"/>
      <c r="CG129" s="503"/>
      <c r="CH129" s="502"/>
      <c r="CI129" s="426">
        <f t="shared" si="121"/>
        <v>0</v>
      </c>
      <c r="CJ129" s="429">
        <f t="shared" si="122"/>
        <v>0</v>
      </c>
      <c r="CK129" s="459" t="s">
        <v>22</v>
      </c>
      <c r="CL129" s="460"/>
      <c r="CM129" s="503"/>
      <c r="CN129" s="502"/>
      <c r="CO129" s="426">
        <f t="shared" si="123"/>
        <v>0</v>
      </c>
      <c r="CP129" s="429">
        <f t="shared" si="124"/>
        <v>0</v>
      </c>
      <c r="CQ129" s="459" t="s">
        <v>22</v>
      </c>
      <c r="CR129" s="460"/>
      <c r="CS129" s="503"/>
      <c r="CT129" s="502"/>
      <c r="CU129" s="426">
        <f t="shared" si="125"/>
        <v>0</v>
      </c>
      <c r="CV129" s="429">
        <f t="shared" si="126"/>
        <v>0</v>
      </c>
      <c r="CW129" s="459" t="s">
        <v>22</v>
      </c>
      <c r="CX129" s="460"/>
      <c r="CY129" s="503"/>
      <c r="CZ129" s="502"/>
      <c r="DA129" s="426"/>
      <c r="DB129" s="429"/>
      <c r="DC129" s="459"/>
      <c r="DD129" s="460"/>
    </row>
    <row r="130" spans="1:108" x14ac:dyDescent="0.2">
      <c r="A130" s="49"/>
      <c r="B130" s="33">
        <v>47</v>
      </c>
      <c r="C130" s="212" t="s">
        <v>301</v>
      </c>
      <c r="D130" s="503"/>
      <c r="E130" s="502"/>
      <c r="F130" s="426">
        <f t="shared" si="117"/>
        <v>60.280373831775698</v>
      </c>
      <c r="G130" s="429">
        <f t="shared" si="118"/>
        <v>60.280373831775698</v>
      </c>
      <c r="H130" s="459" t="s">
        <v>22</v>
      </c>
      <c r="I130" s="460"/>
      <c r="J130" s="156" t="str">
        <f>IF(HLOOKUP($Z130,$AB$116:$AF$183,$AA130,FALSE)&gt;0,HLOOKUP($Z130,$AB$116:$AF$183,$AA130,FALSE)*$F130,"niet leverbaar")</f>
        <v>niet leverbaar</v>
      </c>
      <c r="K130" s="9" t="str">
        <f>IF(HLOOKUP($Z130,$AG$116:$AK$183,$AA130,FALSE)&gt;0,HLOOKUP($Z130,$AG$116:$AK$183,$AA130,FALSE)*$F130,"niet leverbaar")</f>
        <v>niet leverbaar</v>
      </c>
      <c r="L130" s="27" t="str">
        <f>IF(HLOOKUP($Z130,$AL$116:$AP$183,$AA130,FALSE)&gt;0,HLOOKUP($Z130,$AL$116:$AP$183,$AA130,FALSE)*$F130,"niet leverbaar")</f>
        <v>niet leverbaar</v>
      </c>
      <c r="M130" s="12" t="str">
        <f>IF(HLOOKUP($Z130,$AQ$116:$AU$183,$AA130,FALSE)&gt;0,HLOOKUP($Z130,$AQ$116:$AU$183,$AA130,FALSE)*$F130,"niet leverbaar")</f>
        <v>niet leverbaar</v>
      </c>
      <c r="N130" s="9" t="str">
        <f>IF(HLOOKUP($Z130,$AV$116:$AZ$183,$AA130,FALSE)&gt;0,HLOOKUP($Z130,$AV$116:$AZ$183,$AA130,FALSE)*$F130,"niet leverbaar")</f>
        <v>niet leverbaar</v>
      </c>
      <c r="O130" s="27" t="str">
        <f>IF(HLOOKUP($Z130,$BA$116:$BE$183,$AA130,FALSE)&gt;0,HLOOKUP($Z130,$BA$116:$BE$183,$AA130,FALSE)*$F130,"niet leverbaar")</f>
        <v>niet leverbaar</v>
      </c>
      <c r="T130" s="91" t="str">
        <f>CONCATENATE("ref: ",Referentieproject!T130)</f>
        <v>ref: 1 eps isolatie, kunststof bedekking</v>
      </c>
      <c r="U130" s="99" t="s">
        <v>71</v>
      </c>
      <c r="V130" s="99" t="s">
        <v>80</v>
      </c>
      <c r="W130" s="263" t="s">
        <v>90</v>
      </c>
      <c r="X130" s="99" t="s">
        <v>94</v>
      </c>
      <c r="Y130" s="263" t="s">
        <v>62</v>
      </c>
      <c r="Z130" s="2">
        <f>IF(D210=T130,Referentieproject!Z130,IF(D210=U130,1,IF(D210=V130,2,IF(D210=W130,3,IF(D210=X130,4,5)))))</f>
        <v>5</v>
      </c>
      <c r="AA130" s="35">
        <f t="shared" si="95"/>
        <v>15</v>
      </c>
      <c r="AB130" s="42">
        <f>HLOOKUP(AB$116,Kostengegevens!$AK$74:$BN$135,Stappen!$AA130,FALSE)+AB70</f>
        <v>53.740000000270129</v>
      </c>
      <c r="AC130" s="42">
        <f>HLOOKUP(AC$116,Kostengegevens!$AK$74:$BN$135,Stappen!$AA130,FALSE)+AC70</f>
        <v>65.005000000167684</v>
      </c>
      <c r="AD130" s="35">
        <f>HLOOKUP(AD$116,Kostengegevens!$AK$74:$BN$135,Stappen!$AA130,FALSE)</f>
        <v>48.976261247862112</v>
      </c>
      <c r="AE130" s="42">
        <f>HLOOKUP(AE$116,Kostengegevens!$AK$74:$BN$135,Stappen!$AA130,FALSE)+AE70</f>
        <v>192.03981666695586</v>
      </c>
      <c r="AF130" s="3"/>
      <c r="AG130" s="42">
        <f>HLOOKUP(AG$116+10,Kostengegevens!$AK$74:$BN$135,Stappen!$AA130,FALSE)+AG70</f>
        <v>12.827499999915005</v>
      </c>
      <c r="AH130" s="42">
        <f>HLOOKUP(AH$116+10,Kostengegevens!$AK$74:$BN$135,Stappen!$AA130,FALSE)+AH70</f>
        <v>6.4825000000011528</v>
      </c>
      <c r="AI130" s="35">
        <f>HLOOKUP(AI$116+10,Kostengegevens!$AK$74:$BN$135,Stappen!$AA130,FALSE)</f>
        <v>4.9436174400099162</v>
      </c>
      <c r="AJ130" s="42">
        <f>HLOOKUP(AJ$116+10,Kostengegevens!$AK$74:$BN$135,Stappen!$AA130,FALSE)+AJ70</f>
        <v>15.379649999989311</v>
      </c>
      <c r="AK130" s="35"/>
      <c r="AL130" s="42">
        <f>HLOOKUP(AL$116+20,Kostengegevens!$AK$74:$BN$135,Stappen!$AA130,FALSE)+AL70</f>
        <v>28.549999999755528</v>
      </c>
      <c r="AM130" s="42">
        <f>HLOOKUP(AM$116+20,Kostengegevens!$AK$74:$BN$135,Stappen!$AA130,FALSE)+AM70</f>
        <v>18.034999999625143</v>
      </c>
      <c r="AN130" s="35">
        <f>HLOOKUP(AN$116+20,Kostengegevens!$AK$74:$BN$135,Stappen!$AA130,FALSE)</f>
        <v>29.999825248245997</v>
      </c>
      <c r="AO130" s="42">
        <f>HLOOKUP(AO$116+20,Kostengegevens!$AK$74:$BN$135,Stappen!$AA130,FALSE)+AO70</f>
        <v>43.293983333317215</v>
      </c>
      <c r="AP130" s="35"/>
      <c r="AQ130" s="42">
        <f>HLOOKUP(AQ$116+30,Kostengegevens!$AK$74:$BN$135,Stappen!$AA130,FALSE)+AQ70</f>
        <v>727.26999999731743</v>
      </c>
      <c r="AR130" s="42">
        <f>HLOOKUP(AR$116+30,Kostengegevens!$AK$74:$BN$135,Stappen!$AA130,FALSE)+AR70</f>
        <v>499.95999999679589</v>
      </c>
      <c r="AS130" s="35">
        <f>HLOOKUP(AS$116+30,Kostengegevens!$AK$74:$BN$135,Stappen!$AA130,FALSE)</f>
        <v>148.95462843833047</v>
      </c>
      <c r="AT130" s="42">
        <f>HLOOKUP(AT$116+30,Kostengegevens!$AK$74:$BN$135,Stappen!$AA130,FALSE)+AT70</f>
        <v>783.76385000103801</v>
      </c>
      <c r="AU130" s="35"/>
      <c r="AV130" s="42">
        <f>HLOOKUP(AV$116+40,Kostengegevens!$AK$74:$BN$135,Stappen!$AA130,FALSE)+AV70</f>
        <v>3.1349999999991383</v>
      </c>
      <c r="AW130" s="42">
        <f>HLOOKUP(AW$116+40,Kostengegevens!$AK$74:$BN$135,Stappen!$AA130,FALSE)+AW70</f>
        <v>1.8699999999706165</v>
      </c>
      <c r="AX130" s="35">
        <f>HLOOKUP(AX$116+40,Kostengegevens!$AK$74:$BN$135,Stappen!$AA130,FALSE)</f>
        <v>18.603136248010458</v>
      </c>
      <c r="AY130" s="42">
        <f>HLOOKUP(AY$116+40,Kostengegevens!$AK$74:$BN$135,Stappen!$AA130,FALSE)+AY70</f>
        <v>7.3251166666623817</v>
      </c>
      <c r="AZ130" s="35"/>
      <c r="BA130" s="42">
        <f>HLOOKUP(BA$116+50,Kostengegevens!$AK$74:$BN$135,Stappen!$AA130,FALSE)+BA70</f>
        <v>6.7312500000581963</v>
      </c>
      <c r="BB130" s="42">
        <f>HLOOKUP(BB$116+50,Kostengegevens!$AK$74:$BN$135,Stappen!$AA130,FALSE)+BB70</f>
        <v>1.7662500000325849</v>
      </c>
      <c r="BC130" s="35">
        <f>HLOOKUP(BC$116+50,Kostengegevens!$AK$74:$BN$135,Stappen!$AA130,FALSE)</f>
        <v>2.7443219999978226</v>
      </c>
      <c r="BD130" s="42">
        <f>HLOOKUP(BD$116+50,Kostengegevens!$AK$74:$BN$135,Stappen!$AA130,FALSE)+BD70</f>
        <v>3.3576333333634665</v>
      </c>
      <c r="BE130" s="35"/>
      <c r="BG130" s="2">
        <v>4</v>
      </c>
      <c r="BH130" s="57">
        <v>15</v>
      </c>
      <c r="BI130" s="35">
        <f>BJ130/BJ$27*BI$27</f>
        <v>60.280373831775698</v>
      </c>
      <c r="BJ130" s="56">
        <f>HLOOKUP(BJ$116,$BL$116:$BP$178,BH130,FALSE)*VLOOKUP($BG130,$BH$24:$BJ$46,3,FALSE)</f>
        <v>60.280373831775698</v>
      </c>
      <c r="BK130" s="47" t="s">
        <v>22</v>
      </c>
      <c r="BL130" s="102">
        <f>427/436</f>
        <v>0.97935779816513757</v>
      </c>
      <c r="BM130" s="102">
        <f>516/516</f>
        <v>1</v>
      </c>
      <c r="BN130" s="102">
        <v>1</v>
      </c>
      <c r="BO130" s="102">
        <f>617/624</f>
        <v>0.98878205128205132</v>
      </c>
      <c r="BP130" s="102">
        <f>427/436</f>
        <v>0.97935779816513757</v>
      </c>
      <c r="BR130" s="2">
        <v>3</v>
      </c>
      <c r="BS130" s="2">
        <v>1</v>
      </c>
      <c r="BT130" s="2">
        <v>1</v>
      </c>
      <c r="BU130" s="2">
        <v>1</v>
      </c>
      <c r="CA130" s="503"/>
      <c r="CB130" s="502"/>
      <c r="CC130" s="426">
        <f t="shared" si="119"/>
        <v>0</v>
      </c>
      <c r="CD130" s="429">
        <f t="shared" si="120"/>
        <v>0</v>
      </c>
      <c r="CE130" s="459" t="s">
        <v>22</v>
      </c>
      <c r="CF130" s="460"/>
      <c r="CG130" s="503"/>
      <c r="CH130" s="502"/>
      <c r="CI130" s="426">
        <f t="shared" si="121"/>
        <v>0</v>
      </c>
      <c r="CJ130" s="429">
        <f t="shared" si="122"/>
        <v>0</v>
      </c>
      <c r="CK130" s="459" t="s">
        <v>22</v>
      </c>
      <c r="CL130" s="460"/>
      <c r="CM130" s="503"/>
      <c r="CN130" s="502"/>
      <c r="CO130" s="426">
        <f t="shared" si="123"/>
        <v>0</v>
      </c>
      <c r="CP130" s="429">
        <f t="shared" si="124"/>
        <v>0</v>
      </c>
      <c r="CQ130" s="459" t="s">
        <v>22</v>
      </c>
      <c r="CR130" s="460"/>
      <c r="CS130" s="503"/>
      <c r="CT130" s="502"/>
      <c r="CU130" s="426">
        <f t="shared" si="125"/>
        <v>0</v>
      </c>
      <c r="CV130" s="429">
        <f t="shared" si="126"/>
        <v>0</v>
      </c>
      <c r="CW130" s="459" t="s">
        <v>22</v>
      </c>
      <c r="CX130" s="460"/>
      <c r="CY130" s="503"/>
      <c r="CZ130" s="502"/>
      <c r="DA130" s="426"/>
      <c r="DB130" s="429"/>
      <c r="DC130" s="459"/>
      <c r="DD130" s="460"/>
    </row>
    <row r="131" spans="1:108" x14ac:dyDescent="0.2">
      <c r="A131" s="1" t="s">
        <v>166</v>
      </c>
      <c r="C131" s="211" t="s">
        <v>53</v>
      </c>
      <c r="D131" s="501"/>
      <c r="E131" s="502"/>
      <c r="F131" s="504"/>
      <c r="G131" s="505"/>
      <c r="H131" s="459"/>
      <c r="I131" s="460"/>
      <c r="J131" s="156"/>
      <c r="K131" s="9"/>
      <c r="L131" s="27"/>
      <c r="M131" s="12"/>
      <c r="N131" s="9"/>
      <c r="O131" s="27"/>
      <c r="P131" s="84"/>
      <c r="T131" s="91"/>
      <c r="U131" s="263"/>
      <c r="V131" s="263"/>
      <c r="W131" s="263"/>
      <c r="X131" s="263"/>
      <c r="Y131" s="263"/>
      <c r="AA131" s="35">
        <f t="shared" si="95"/>
        <v>16</v>
      </c>
      <c r="AB131" s="35">
        <f>HLOOKUP(AB$116,Kostengegevens!$AK$74:$BN$135,Stappen!$AA131,FALSE)</f>
        <v>0</v>
      </c>
      <c r="AC131" s="35">
        <f>HLOOKUP(AC$116,Kostengegevens!$AK$74:$BN$135,Stappen!$AA131,FALSE)</f>
        <v>0</v>
      </c>
      <c r="AD131" s="35">
        <f>HLOOKUP(AD$116,Kostengegevens!$AK$74:$BN$135,Stappen!$AA131,FALSE)</f>
        <v>0</v>
      </c>
      <c r="AE131" s="35">
        <f>HLOOKUP(AE$116,Kostengegevens!$AK$74:$BN$135,Stappen!$AA131,FALSE)</f>
        <v>0</v>
      </c>
      <c r="AF131" s="3"/>
      <c r="AG131" s="35">
        <f>HLOOKUP(AG$116+10,Kostengegevens!$AK$74:$BN$135,Stappen!$AA131,FALSE)</f>
        <v>0</v>
      </c>
      <c r="AH131" s="35">
        <f>HLOOKUP(AH$116+10,Kostengegevens!$AK$74:$BN$135,Stappen!$AA131,FALSE)</f>
        <v>0</v>
      </c>
      <c r="AI131" s="35">
        <f>HLOOKUP(AI$116+10,Kostengegevens!$AK$74:$BN$135,Stappen!$AA131,FALSE)</f>
        <v>0</v>
      </c>
      <c r="AJ131" s="35">
        <f>HLOOKUP(AJ$116+10,Kostengegevens!$AK$74:$BN$135,Stappen!$AA131,FALSE)</f>
        <v>0</v>
      </c>
      <c r="AK131" s="3"/>
      <c r="AL131" s="35">
        <f>HLOOKUP(AL$116+20,Kostengegevens!$AK$74:$BN$135,Stappen!$AA131,FALSE)</f>
        <v>0</v>
      </c>
      <c r="AM131" s="35">
        <f>HLOOKUP(AM$116+20,Kostengegevens!$AK$74:$BN$135,Stappen!$AA131,FALSE)</f>
        <v>0</v>
      </c>
      <c r="AN131" s="35">
        <f>HLOOKUP(AN$116+20,Kostengegevens!$AK$74:$BN$135,Stappen!$AA131,FALSE)</f>
        <v>0</v>
      </c>
      <c r="AO131" s="35">
        <f>HLOOKUP(AO$116+20,Kostengegevens!$AK$74:$BN$135,Stappen!$AA131,FALSE)</f>
        <v>0</v>
      </c>
      <c r="AP131" s="3"/>
      <c r="AQ131" s="35">
        <f>HLOOKUP(AQ$116+30,Kostengegevens!$AK$74:$BN$135,Stappen!$AA131,FALSE)</f>
        <v>0</v>
      </c>
      <c r="AR131" s="35">
        <f>HLOOKUP(AR$116+30,Kostengegevens!$AK$74:$BN$135,Stappen!$AA131,FALSE)</f>
        <v>0</v>
      </c>
      <c r="AS131" s="35">
        <f>HLOOKUP(AS$116+30,Kostengegevens!$AK$74:$BN$135,Stappen!$AA131,FALSE)</f>
        <v>0</v>
      </c>
      <c r="AT131" s="35">
        <f>HLOOKUP(AT$116+30,Kostengegevens!$AK$74:$BN$135,Stappen!$AA131,FALSE)</f>
        <v>0</v>
      </c>
      <c r="AU131" s="3"/>
      <c r="AV131" s="35">
        <f>HLOOKUP(AV$116+40,Kostengegevens!$AK$74:$BN$135,Stappen!$AA131,FALSE)</f>
        <v>0</v>
      </c>
      <c r="AW131" s="35">
        <f>HLOOKUP(AW$116+40,Kostengegevens!$AK$74:$BN$135,Stappen!$AA131,FALSE)</f>
        <v>0</v>
      </c>
      <c r="AX131" s="35">
        <f>HLOOKUP(AX$116+40,Kostengegevens!$AK$74:$BN$135,Stappen!$AA131,FALSE)</f>
        <v>0</v>
      </c>
      <c r="AY131" s="35">
        <f>HLOOKUP(AY$116+40,Kostengegevens!$AK$74:$BN$135,Stappen!$AA131,FALSE)</f>
        <v>0</v>
      </c>
      <c r="AZ131" s="3"/>
      <c r="BA131" s="35">
        <f>HLOOKUP(BA$116+50,Kostengegevens!$AK$74:$BN$135,Stappen!$AA131,FALSE)</f>
        <v>0</v>
      </c>
      <c r="BB131" s="35">
        <f>HLOOKUP(BB$116+50,Kostengegevens!$AK$74:$BN$135,Stappen!$AA131,FALSE)</f>
        <v>0</v>
      </c>
      <c r="BC131" s="35">
        <f>HLOOKUP(BC$116+50,Kostengegevens!$AK$74:$BN$135,Stappen!$AA131,FALSE)</f>
        <v>0</v>
      </c>
      <c r="BD131" s="35">
        <f>HLOOKUP(BD$116+50,Kostengegevens!$AK$74:$BN$135,Stappen!$AA131,FALSE)</f>
        <v>0</v>
      </c>
      <c r="BE131" s="3"/>
      <c r="BH131" s="57">
        <v>16</v>
      </c>
      <c r="BI131" s="53"/>
      <c r="BJ131" s="56"/>
      <c r="BK131" s="47"/>
      <c r="BL131" s="102"/>
      <c r="BM131" s="102"/>
      <c r="BN131" s="102"/>
      <c r="BO131" s="102"/>
      <c r="BP131" s="102"/>
      <c r="CA131" s="501"/>
      <c r="CB131" s="502"/>
      <c r="CC131" s="504"/>
      <c r="CD131" s="505"/>
      <c r="CE131" s="459"/>
      <c r="CF131" s="460"/>
      <c r="CG131" s="501"/>
      <c r="CH131" s="502"/>
      <c r="CI131" s="504"/>
      <c r="CJ131" s="505"/>
      <c r="CK131" s="459"/>
      <c r="CL131" s="460"/>
      <c r="CM131" s="501"/>
      <c r="CN131" s="502"/>
      <c r="CO131" s="504"/>
      <c r="CP131" s="505"/>
      <c r="CQ131" s="459"/>
      <c r="CR131" s="460"/>
      <c r="CS131" s="501"/>
      <c r="CT131" s="502"/>
      <c r="CU131" s="504"/>
      <c r="CV131" s="505"/>
      <c r="CW131" s="459"/>
      <c r="CX131" s="460"/>
      <c r="CY131" s="501"/>
      <c r="CZ131" s="502"/>
      <c r="DA131" s="504"/>
      <c r="DB131" s="505"/>
      <c r="DC131" s="459"/>
      <c r="DD131" s="460"/>
    </row>
    <row r="132" spans="1:108" x14ac:dyDescent="0.2">
      <c r="A132" s="49"/>
      <c r="B132" s="33">
        <v>21</v>
      </c>
      <c r="C132" s="212" t="s">
        <v>420</v>
      </c>
      <c r="D132" s="503"/>
      <c r="E132" s="502"/>
      <c r="F132" s="426">
        <f t="shared" ref="F132:F134" si="127">BI132</f>
        <v>84.112149532710276</v>
      </c>
      <c r="G132" s="429">
        <f t="shared" ref="G132:G134" si="128">BJ132</f>
        <v>84.112149532710276</v>
      </c>
      <c r="H132" s="459" t="s">
        <v>22</v>
      </c>
      <c r="I132" s="460"/>
      <c r="J132" s="156">
        <f>IF(HLOOKUP($Z132,$AB$116:$AF$183,$AA132,FALSE)&gt;0,HLOOKUP($Z132,$AB$116:$AF$183,$AA132,FALSE)*$F132,"niet leverbaar")</f>
        <v>10839.953271008453</v>
      </c>
      <c r="K132" s="9">
        <f>IF(HLOOKUP($Z132,$AG$116:$AK$183,$AA132,FALSE)&gt;0,HLOOKUP($Z132,$AG$116:$AK$183,$AA132,FALSE)*$F132,"niet leverbaar")</f>
        <v>1795.1467289740012</v>
      </c>
      <c r="L132" s="27">
        <f>IF(HLOOKUP($Z132,$AL$116:$AP$183,$AA132,FALSE)&gt;0,HLOOKUP($Z132,$AL$116:$AP$183,$AA132,FALSE)*$F132,"niet leverbaar")</f>
        <v>8536.9710280315194</v>
      </c>
      <c r="M132" s="12">
        <f>IF(HLOOKUP($Z132,$AQ$116:$AU$183,$AA132,FALSE)&gt;0,HLOOKUP($Z132,$AQ$116:$AU$183,$AA132,FALSE)*$F132,"niet leverbaar")</f>
        <v>103133.994392457</v>
      </c>
      <c r="N132" s="9">
        <f>IF(HLOOKUP($Z132,$AV$116:$AZ$183,$AA132,FALSE)&gt;0,HLOOKUP($Z132,$AV$116:$AZ$183,$AA132,FALSE)*$F132,"niet leverbaar")</f>
        <v>3143.0060747663597</v>
      </c>
      <c r="O132" s="27">
        <f>IF(HLOOKUP($Z132,$BA$116:$BE$183,$AA132,FALSE)&gt;0,HLOOKUP($Z132,$BA$116:$BE$183,$AA132,FALSE)*$F132,"niet leverbaar")</f>
        <v>544.50841121964163</v>
      </c>
      <c r="T132" s="91" t="str">
        <f>CONCATENATE("ref: ",Referentieproject!T132)</f>
        <v>ref: 1 baksteen (met isolatie)</v>
      </c>
      <c r="U132" s="99" t="s">
        <v>72</v>
      </c>
      <c r="V132" s="99" t="s">
        <v>81</v>
      </c>
      <c r="W132" s="99" t="s">
        <v>353</v>
      </c>
      <c r="X132" s="99" t="s">
        <v>137</v>
      </c>
      <c r="Y132" s="263" t="s">
        <v>62</v>
      </c>
      <c r="Z132" s="2">
        <f>IF(D212=T132,Referentieproject!Z132,IF(D212=U132,1,IF(D212=V132,2,IF(D212=W132,3,IF(D212=X132,4,5)))))</f>
        <v>1</v>
      </c>
      <c r="AA132" s="35">
        <f t="shared" si="95"/>
        <v>17</v>
      </c>
      <c r="AB132" s="42">
        <f>HLOOKUP(AB$116,Kostengegevens!$AK$74:$BN$135,Stappen!$AA132,FALSE)+AB71</f>
        <v>128.87499999976717</v>
      </c>
      <c r="AC132" s="42">
        <f>HLOOKUP(AC$116,Kostengegevens!$AK$74:$BN$135,Stappen!$AA132,FALSE)+AC71</f>
        <v>125.53300000005402</v>
      </c>
      <c r="AD132" s="42">
        <f>HLOOKUP(AD$116,Kostengegevens!$AK$74:$BN$135,Stappen!$AA132,FALSE)+AD71</f>
        <v>103.53260000026785</v>
      </c>
      <c r="AE132" s="42">
        <f>HLOOKUP(AE$116,Kostengegevens!$AK$74:$BN$135,Stappen!$AA132,FALSE)+AE71</f>
        <v>52.50323999999091</v>
      </c>
      <c r="AF132" s="3"/>
      <c r="AG132" s="42">
        <f>HLOOKUP(AG$116+10,Kostengegevens!$AK$74:$BN$135,Stappen!$AA132,FALSE)+AG71</f>
        <v>21.342300000024238</v>
      </c>
      <c r="AH132" s="42">
        <f>HLOOKUP(AH$116+10,Kostengegevens!$AK$74:$BN$135,Stappen!$AA132,FALSE)+AH71</f>
        <v>22.102499999979045</v>
      </c>
      <c r="AI132" s="42">
        <f>HLOOKUP(AI$116+10,Kostengegevens!$AK$74:$BN$135,Stappen!$AA132,FALSE)+AI71</f>
        <v>16.710500000044703</v>
      </c>
      <c r="AJ132" s="42">
        <f>HLOOKUP(AJ$116+10,Kostengegevens!$AK$74:$BN$135,Stappen!$AA132,FALSE)+AJ71</f>
        <v>6.6126999999396503</v>
      </c>
      <c r="AK132" s="35"/>
      <c r="AL132" s="42">
        <f>HLOOKUP(AL$116+20,Kostengegevens!$AK$74:$BN$135,Stappen!$AA132,FALSE)+AL71</f>
        <v>101.49509999993029</v>
      </c>
      <c r="AM132" s="42">
        <f>HLOOKUP(AM$116+20,Kostengegevens!$AK$74:$BN$135,Stappen!$AA132,FALSE)+AM71</f>
        <v>62.763000000151806</v>
      </c>
      <c r="AN132" s="42">
        <f>HLOOKUP(AN$116+20,Kostengegevens!$AK$74:$BN$135,Stappen!$AA132,FALSE)+AN71</f>
        <v>47.762599999899976</v>
      </c>
      <c r="AO132" s="42">
        <f>HLOOKUP(AO$116+20,Kostengegevens!$AK$74:$BN$135,Stappen!$AA132,FALSE)+AO71</f>
        <v>39.555240000016056</v>
      </c>
      <c r="AP132" s="35"/>
      <c r="AQ132" s="42">
        <f>HLOOKUP(AQ$116+30,Kostengegevens!$AK$74:$BN$135,Stappen!$AA132,FALSE)+AQ71</f>
        <v>1226.148599999211</v>
      </c>
      <c r="AR132" s="42">
        <f>HLOOKUP(AR$116+30,Kostengegevens!$AK$74:$BN$135,Stappen!$AA132,FALSE)+AR71</f>
        <v>1060.5025000032037</v>
      </c>
      <c r="AS132" s="42">
        <f>HLOOKUP(AS$116+30,Kostengegevens!$AK$74:$BN$135,Stappen!$AA132,FALSE)+AS71</f>
        <v>662.77549999766052</v>
      </c>
      <c r="AT132" s="42">
        <f>HLOOKUP(AT$116+30,Kostengegevens!$AK$74:$BN$135,Stappen!$AA132,FALSE)+AT71</f>
        <v>174.18769999966025</v>
      </c>
      <c r="AU132" s="35"/>
      <c r="AV132" s="42">
        <f>HLOOKUP(AV$116+40,Kostengegevens!$AK$74:$BN$135,Stappen!$AA132,FALSE)+AV71</f>
        <v>37.366850000000056</v>
      </c>
      <c r="AW132" s="42">
        <f>HLOOKUP(AW$116+40,Kostengegevens!$AK$74:$BN$135,Stappen!$AA132,FALSE)+AW71</f>
        <v>18.018000000025495</v>
      </c>
      <c r="AX132" s="42">
        <f>HLOOKUP(AX$116+40,Kostengegevens!$AK$74:$BN$135,Stappen!$AA132,FALSE)+AX71</f>
        <v>10.662599999996019</v>
      </c>
      <c r="AY132" s="42">
        <f>HLOOKUP(AY$116+40,Kostengegevens!$AK$74:$BN$135,Stappen!$AA132,FALSE)+AY71</f>
        <v>29.575239999991027</v>
      </c>
      <c r="AZ132" s="35"/>
      <c r="BA132" s="42">
        <f>HLOOKUP(BA$116+50,Kostengegevens!$AK$74:$BN$135,Stappen!$AA132,FALSE)+BA71</f>
        <v>6.4736000000557397</v>
      </c>
      <c r="BB132" s="42">
        <f>HLOOKUP(BB$116+50,Kostengegevens!$AK$74:$BN$135,Stappen!$AA132,FALSE)+BB71</f>
        <v>9.8100000000267755</v>
      </c>
      <c r="BC132" s="42">
        <f>HLOOKUP(BC$116+50,Kostengegevens!$AK$74:$BN$135,Stappen!$AA132,FALSE)+BC71</f>
        <v>3.8650000000197906</v>
      </c>
      <c r="BD132" s="42">
        <f>HLOOKUP(BD$116+50,Kostengegevens!$AK$74:$BN$135,Stappen!$AA132,FALSE)+BD71</f>
        <v>1.1190000000060536</v>
      </c>
      <c r="BE132" s="35"/>
      <c r="BG132" s="2">
        <v>5</v>
      </c>
      <c r="BH132" s="57">
        <v>17</v>
      </c>
      <c r="BI132" s="35">
        <f>BJ132/BJ$28*BI$28</f>
        <v>84.112149532710276</v>
      </c>
      <c r="BJ132" s="56">
        <f>HLOOKUP(BJ$116,$BL$116:$BP$178,BH132,FALSE)*VLOOKUP($BG132,$BH$24:$BJ$46,3,FALSE)</f>
        <v>84.112149532710276</v>
      </c>
      <c r="BK132" s="47" t="s">
        <v>22</v>
      </c>
      <c r="BL132" s="102">
        <f>384/507</f>
        <v>0.75739644970414199</v>
      </c>
      <c r="BM132" s="102">
        <f>60/93</f>
        <v>0.64516129032258063</v>
      </c>
      <c r="BN132" s="102">
        <f>335/494</f>
        <v>0.67813765182186236</v>
      </c>
      <c r="BO132" s="102">
        <f>975/1390</f>
        <v>0.70143884892086328</v>
      </c>
      <c r="BP132" s="102">
        <f>384/507</f>
        <v>0.75739644970414199</v>
      </c>
      <c r="BR132" s="2">
        <v>1</v>
      </c>
      <c r="BS132" s="2">
        <v>1</v>
      </c>
      <c r="BT132" s="2">
        <v>1</v>
      </c>
      <c r="BU132" s="2">
        <v>1</v>
      </c>
      <c r="CA132" s="503"/>
      <c r="CB132" s="502"/>
      <c r="CC132" s="426">
        <f t="shared" ref="CC132:CC134" si="129">EF132</f>
        <v>0</v>
      </c>
      <c r="CD132" s="429">
        <f t="shared" ref="CD132:CD134" si="130">EG132</f>
        <v>0</v>
      </c>
      <c r="CE132" s="459" t="s">
        <v>22</v>
      </c>
      <c r="CF132" s="460"/>
      <c r="CG132" s="503"/>
      <c r="CH132" s="502"/>
      <c r="CI132" s="426">
        <f t="shared" ref="CI132:CI134" si="131">EL132</f>
        <v>0</v>
      </c>
      <c r="CJ132" s="429">
        <f t="shared" ref="CJ132:CJ134" si="132">EM132</f>
        <v>0</v>
      </c>
      <c r="CK132" s="459" t="s">
        <v>22</v>
      </c>
      <c r="CL132" s="460"/>
      <c r="CM132" s="503"/>
      <c r="CN132" s="502"/>
      <c r="CO132" s="426">
        <f t="shared" ref="CO132:CO134" si="133">ER132</f>
        <v>0</v>
      </c>
      <c r="CP132" s="429">
        <f t="shared" ref="CP132:CP134" si="134">ES132</f>
        <v>0</v>
      </c>
      <c r="CQ132" s="459" t="s">
        <v>22</v>
      </c>
      <c r="CR132" s="460"/>
      <c r="CS132" s="503"/>
      <c r="CT132" s="502"/>
      <c r="CU132" s="426">
        <f t="shared" ref="CU132:CU134" si="135">EX132</f>
        <v>0</v>
      </c>
      <c r="CV132" s="429">
        <f t="shared" ref="CV132:CV134" si="136">EY132</f>
        <v>0</v>
      </c>
      <c r="CW132" s="459" t="s">
        <v>22</v>
      </c>
      <c r="CX132" s="460"/>
      <c r="CY132" s="503"/>
      <c r="CZ132" s="502"/>
      <c r="DA132" s="426"/>
      <c r="DB132" s="429"/>
      <c r="DC132" s="459"/>
      <c r="DD132" s="460"/>
    </row>
    <row r="133" spans="1:108" x14ac:dyDescent="0.2">
      <c r="A133" s="49"/>
      <c r="B133" s="33">
        <v>31</v>
      </c>
      <c r="C133" s="212" t="s">
        <v>302</v>
      </c>
      <c r="D133" s="503"/>
      <c r="E133" s="502"/>
      <c r="F133" s="426">
        <f t="shared" si="127"/>
        <v>46.261682242990652</v>
      </c>
      <c r="G133" s="429">
        <f t="shared" si="128"/>
        <v>46.261682242990652</v>
      </c>
      <c r="H133" s="459" t="s">
        <v>22</v>
      </c>
      <c r="I133" s="460"/>
      <c r="J133" s="156">
        <f t="shared" si="116"/>
        <v>18978.355324338678</v>
      </c>
      <c r="K133" s="9">
        <f t="shared" si="90"/>
        <v>6307.8260803743351</v>
      </c>
      <c r="L133" s="27">
        <f t="shared" si="91"/>
        <v>9402.231196696288</v>
      </c>
      <c r="M133" s="12">
        <f t="shared" si="92"/>
        <v>104297.10718931408</v>
      </c>
      <c r="N133" s="9">
        <f t="shared" si="93"/>
        <v>3618.9553579882904</v>
      </c>
      <c r="O133" s="27">
        <f t="shared" si="94"/>
        <v>1832.412891026851</v>
      </c>
      <c r="T133" s="91" t="str">
        <f>CONCATENATE("ref: ",Referentieproject!T133)</f>
        <v>ref: 1 hardhouten kozijnen met HR++ glas</v>
      </c>
      <c r="U133" s="275" t="str">
        <f>IF(F79="U=1,65","1 hardhouten kozijnen met HR++ glas","HR++ n.v.t. bij U=0,95")</f>
        <v>1 hardhouten kozijnen met HR++ glas</v>
      </c>
      <c r="V133" s="275" t="str">
        <f>IF(F79="U=1,65","2 aluminium kozijnen met HR++ glas","HR++ n.v.t. bij U=0,95")</f>
        <v>2 aluminium kozijnen met HR++ glas</v>
      </c>
      <c r="W133" s="275" t="str">
        <f>IF(F79="U=1,65","3 kunststof kozijnen met HR++ glas","HR++ n.v.t. bij U=0,95")</f>
        <v>3 kunststof kozijnen met HR++ glas</v>
      </c>
      <c r="X133" s="275" t="str">
        <f>IF(F79="U=0,95","4 passiefhuiskozijnen met 3-voudig-glas","HR+++ n.v.t. bij U=1,65")</f>
        <v>HR+++ n.v.t. bij U=1,65</v>
      </c>
      <c r="Y133" s="263" t="s">
        <v>62</v>
      </c>
      <c r="Z133" s="2">
        <f>IF(D213=T133,Referentieproject!Z133,IF(D213=U133,1,IF(D213=V133,2,IF(D213=W133,3,IF(D213=X133,4,5)))))</f>
        <v>1</v>
      </c>
      <c r="AA133" s="35">
        <f t="shared" si="95"/>
        <v>18</v>
      </c>
      <c r="AB133" s="42">
        <f>HLOOKUP(AB$116,Kostengegevens!$AK$74:$BN$135,Stappen!$AA133,FALSE)+AB72</f>
        <v>410.23919589984621</v>
      </c>
      <c r="AC133" s="42">
        <f>HLOOKUP(AC$116,Kostengegevens!$AK$74:$BN$135,Stappen!$AA133,FALSE)+AC72</f>
        <v>456.71633899982476</v>
      </c>
      <c r="AD133" s="42">
        <f>HLOOKUP(AD$116,Kostengegevens!$AK$74:$BN$135,Stappen!$AA133,FALSE)+AD72</f>
        <v>475.13604899986422</v>
      </c>
      <c r="AE133" s="42">
        <f>HLOOKUP(AE$116,Kostengegevens!$AK$74:$BN$135,Stappen!$AA133,FALSE)+AE72</f>
        <v>511.33622549967765</v>
      </c>
      <c r="AF133" s="3"/>
      <c r="AG133" s="42">
        <f>HLOOKUP(AG$116+10,Kostengegevens!$AK$74:$BN$135,Stappen!$AA133,FALSE)+AG72</f>
        <v>136.35098800001089</v>
      </c>
      <c r="AH133" s="42">
        <f>HLOOKUP(AH$116+10,Kostengegevens!$AK$74:$BN$135,Stappen!$AA133,FALSE)+AH72</f>
        <v>119.17207100005618</v>
      </c>
      <c r="AI133" s="42">
        <f>HLOOKUP(AI$116+10,Kostengegevens!$AK$74:$BN$135,Stappen!$AA133,FALSE)+AI72</f>
        <v>74.755271000073662</v>
      </c>
      <c r="AJ133" s="42">
        <f>HLOOKUP(AJ$116+10,Kostengegevens!$AK$74:$BN$135,Stappen!$AA133,FALSE)+AJ72</f>
        <v>197.72534099987172</v>
      </c>
      <c r="AK133" s="3"/>
      <c r="AL133" s="42">
        <f>HLOOKUP(AL$116+20,Kostengegevens!$AK$74:$BN$135,Stappen!$AA133,FALSE)+AL72</f>
        <v>203.2401491003036</v>
      </c>
      <c r="AM133" s="42">
        <f>HLOOKUP(AM$116+20,Kostengegevens!$AK$74:$BN$135,Stappen!$AA133,FALSE)+AM72</f>
        <v>360.47666900034005</v>
      </c>
      <c r="AN133" s="42">
        <f>HLOOKUP(AN$116+20,Kostengegevens!$AK$74:$BN$135,Stappen!$AA133,FALSE)+AN72</f>
        <v>245.96089400021333</v>
      </c>
      <c r="AO133" s="42">
        <f>HLOOKUP(AO$116+20,Kostengegevens!$AK$74:$BN$135,Stappen!$AA133,FALSE)+AO72</f>
        <v>365.53789970035496</v>
      </c>
      <c r="AP133" s="3"/>
      <c r="AQ133" s="42">
        <f>HLOOKUP(AQ$116+30,Kostengegevens!$AK$74:$BN$135,Stappen!$AA133,FALSE)+AQ72</f>
        <v>2254.5031251023447</v>
      </c>
      <c r="AR133" s="42">
        <f>HLOOKUP(AR$116+30,Kostengegevens!$AK$74:$BN$135,Stappen!$AA133,FALSE)+AR72</f>
        <v>4172.7081835003792</v>
      </c>
      <c r="AS133" s="42">
        <f>HLOOKUP(AS$116+30,Kostengegevens!$AK$74:$BN$135,Stappen!$AA133,FALSE)+AS72</f>
        <v>2598.3943485035561</v>
      </c>
      <c r="AT133" s="42">
        <f>HLOOKUP(AT$116+30,Kostengegevens!$AK$74:$BN$135,Stappen!$AA133,FALSE)+AT72</f>
        <v>4746.2526731008466</v>
      </c>
      <c r="AU133" s="3"/>
      <c r="AV133" s="42">
        <f>HLOOKUP(AV$116+40,Kostengegevens!$AK$74:$BN$135,Stappen!$AA133,FALSE)+AV72</f>
        <v>78.227923899948905</v>
      </c>
      <c r="AW133" s="42">
        <f>HLOOKUP(AW$116+40,Kostengegevens!$AK$74:$BN$135,Stappen!$AA133,FALSE)+AW72</f>
        <v>126.65052699992992</v>
      </c>
      <c r="AX133" s="42">
        <f>HLOOKUP(AX$116+40,Kostengegevens!$AK$74:$BN$135,Stappen!$AA133,FALSE)+AX72</f>
        <v>117.27133199996371</v>
      </c>
      <c r="AY133" s="42">
        <f>HLOOKUP(AY$116+40,Kostengegevens!$AK$74:$BN$135,Stappen!$AA133,FALSE)+AY72</f>
        <v>97.946096499956866</v>
      </c>
      <c r="AZ133" s="3"/>
      <c r="BA133" s="42">
        <f>HLOOKUP(BA$116+50,Kostengegevens!$AK$74:$BN$135,Stappen!$AA133,FALSE)+BA72</f>
        <v>39.609733199974357</v>
      </c>
      <c r="BB133" s="42">
        <f>HLOOKUP(BB$116+50,Kostengegevens!$AK$74:$BN$135,Stappen!$AA133,FALSE)+BB72</f>
        <v>97.097785800000565</v>
      </c>
      <c r="BC133" s="42">
        <f>HLOOKUP(BC$116+50,Kostengegevens!$AK$74:$BN$135,Stappen!$AA133,FALSE)+BC72</f>
        <v>39.731742750020544</v>
      </c>
      <c r="BD133" s="42">
        <f>HLOOKUP(BD$116+50,Kostengegevens!$AK$74:$BN$135,Stappen!$AA133,FALSE)+BD72</f>
        <v>94.987894030000618</v>
      </c>
      <c r="BE133" s="3"/>
      <c r="BG133" s="2">
        <v>5</v>
      </c>
      <c r="BH133" s="57">
        <v>18</v>
      </c>
      <c r="BI133" s="35">
        <f>BJ133/BJ$28*BI$28</f>
        <v>46.261682242990652</v>
      </c>
      <c r="BJ133" s="56">
        <f>HLOOKUP(BJ$116,$BL$116:$BP$178,BH133,FALSE)*VLOOKUP($BG133,$BH$24:$BJ$46,3,FALSE)</f>
        <v>46.261682242990652</v>
      </c>
      <c r="BK133" s="47" t="s">
        <v>22</v>
      </c>
      <c r="BL133" s="102">
        <f>123/507</f>
        <v>0.24260355029585798</v>
      </c>
      <c r="BM133" s="102">
        <f>33/93</f>
        <v>0.35483870967741937</v>
      </c>
      <c r="BN133" s="102">
        <f>159/494</f>
        <v>0.32186234817813764</v>
      </c>
      <c r="BO133" s="102">
        <f>415/1390</f>
        <v>0.29856115107913667</v>
      </c>
      <c r="BP133" s="102">
        <f>123/507</f>
        <v>0.24260355029585798</v>
      </c>
      <c r="BR133" s="2">
        <v>1</v>
      </c>
      <c r="BS133" s="2">
        <v>1</v>
      </c>
      <c r="BT133" s="2">
        <v>2</v>
      </c>
      <c r="BU133" s="2">
        <v>2</v>
      </c>
      <c r="CA133" s="503"/>
      <c r="CB133" s="502"/>
      <c r="CC133" s="426">
        <f t="shared" si="129"/>
        <v>0</v>
      </c>
      <c r="CD133" s="429">
        <f t="shared" si="130"/>
        <v>0</v>
      </c>
      <c r="CE133" s="459" t="s">
        <v>22</v>
      </c>
      <c r="CF133" s="460"/>
      <c r="CG133" s="503"/>
      <c r="CH133" s="502"/>
      <c r="CI133" s="426">
        <f t="shared" si="131"/>
        <v>0</v>
      </c>
      <c r="CJ133" s="429">
        <f t="shared" si="132"/>
        <v>0</v>
      </c>
      <c r="CK133" s="459" t="s">
        <v>22</v>
      </c>
      <c r="CL133" s="460"/>
      <c r="CM133" s="503"/>
      <c r="CN133" s="502"/>
      <c r="CO133" s="426">
        <f t="shared" si="133"/>
        <v>0</v>
      </c>
      <c r="CP133" s="429">
        <f t="shared" si="134"/>
        <v>0</v>
      </c>
      <c r="CQ133" s="459" t="s">
        <v>22</v>
      </c>
      <c r="CR133" s="460"/>
      <c r="CS133" s="503"/>
      <c r="CT133" s="502"/>
      <c r="CU133" s="426">
        <f t="shared" si="135"/>
        <v>0</v>
      </c>
      <c r="CV133" s="429">
        <f t="shared" si="136"/>
        <v>0</v>
      </c>
      <c r="CW133" s="459" t="s">
        <v>22</v>
      </c>
      <c r="CX133" s="460"/>
      <c r="CY133" s="503"/>
      <c r="CZ133" s="502"/>
      <c r="DA133" s="426"/>
      <c r="DB133" s="429"/>
      <c r="DC133" s="459"/>
      <c r="DD133" s="460"/>
    </row>
    <row r="134" spans="1:108" x14ac:dyDescent="0.2">
      <c r="A134" s="49"/>
      <c r="B134" s="33">
        <v>41</v>
      </c>
      <c r="C134" s="212" t="s">
        <v>303</v>
      </c>
      <c r="D134" s="503"/>
      <c r="E134" s="502"/>
      <c r="F134" s="426">
        <f t="shared" si="127"/>
        <v>84.112149532710276</v>
      </c>
      <c r="G134" s="429">
        <f t="shared" si="128"/>
        <v>84.112149532710276</v>
      </c>
      <c r="H134" s="459" t="s">
        <v>22</v>
      </c>
      <c r="I134" s="460"/>
      <c r="J134" s="156">
        <f t="shared" si="116"/>
        <v>0</v>
      </c>
      <c r="K134" s="9">
        <f t="shared" si="90"/>
        <v>0</v>
      </c>
      <c r="L134" s="27">
        <f t="shared" si="91"/>
        <v>0</v>
      </c>
      <c r="M134" s="12">
        <f t="shared" si="92"/>
        <v>0</v>
      </c>
      <c r="N134" s="9">
        <f t="shared" si="93"/>
        <v>0</v>
      </c>
      <c r="O134" s="27">
        <f t="shared" si="94"/>
        <v>0</v>
      </c>
      <c r="T134" s="91" t="str">
        <f>CONCATENATE("ref: ",Referentieproject!T134)</f>
        <v>ref: 5 n.v.t.</v>
      </c>
      <c r="U134" s="263" t="s">
        <v>337</v>
      </c>
      <c r="V134" s="263" t="s">
        <v>354</v>
      </c>
      <c r="W134" s="263" t="s">
        <v>161</v>
      </c>
      <c r="X134" s="263" t="s">
        <v>355</v>
      </c>
      <c r="Y134" s="263" t="s">
        <v>62</v>
      </c>
      <c r="Z134" s="2">
        <f>IF(D214=T134,Referentieproject!Z134,IF(D214=U134,1,IF(D214=V134,2,IF(D214=W134,3,IF(D214=X134,4,5)))))</f>
        <v>5</v>
      </c>
      <c r="AA134" s="35">
        <f t="shared" si="95"/>
        <v>19</v>
      </c>
      <c r="AB134" s="35">
        <f>HLOOKUP(AB$116,Kostengegevens!$AK$74:$BN$135,Stappen!$AA134,FALSE)</f>
        <v>93.777750000124797</v>
      </c>
      <c r="AC134" s="35">
        <f>HLOOKUP(AC$116,Kostengegevens!$AK$74:$BN$135,Stappen!$AA134,FALSE)</f>
        <v>110.87079999991693</v>
      </c>
      <c r="AD134" s="35">
        <f>HLOOKUP(AD$116,Kostengegevens!$AK$74:$BN$135,Stappen!$AA134,FALSE)</f>
        <v>110.11913333367556</v>
      </c>
      <c r="AE134" s="35">
        <f>HLOOKUP(AE$116,Kostengegevens!$AK$74:$BN$135,Stappen!$AA134,FALSE)</f>
        <v>87.689687999896705</v>
      </c>
      <c r="AF134" s="3"/>
      <c r="AG134" s="35">
        <f>HLOOKUP(AG$116+10,Kostengegevens!$AK$74:$BN$135,Stappen!$AA134,FALSE)</f>
        <v>6.3982499999110587</v>
      </c>
      <c r="AH134" s="35">
        <f>HLOOKUP(AH$116+10,Kostengegevens!$AK$74:$BN$135,Stappen!$AA134,FALSE)</f>
        <v>8.8060000000405125</v>
      </c>
      <c r="AI134" s="35">
        <f>HLOOKUP(AI$116+10,Kostengegevens!$AK$74:$BN$135,Stappen!$AA134,FALSE)</f>
        <v>15.499416666745674</v>
      </c>
      <c r="AJ134" s="35">
        <f>HLOOKUP(AJ$116+10,Kostengegevens!$AK$74:$BN$135,Stappen!$AA134,FALSE)</f>
        <v>16.520740000007208</v>
      </c>
      <c r="AK134" s="3"/>
      <c r="AL134" s="35">
        <f>HLOOKUP(AL$116+20,Kostengegevens!$AK$74:$BN$135,Stappen!$AA134,FALSE)</f>
        <v>34.04100000008475</v>
      </c>
      <c r="AM134" s="35">
        <f>HLOOKUP(AM$116+20,Kostengegevens!$AK$74:$BN$135,Stappen!$AA134,FALSE)</f>
        <v>32.921799999778159</v>
      </c>
      <c r="AN134" s="35">
        <f>HLOOKUP(AN$116+20,Kostengegevens!$AK$74:$BN$135,Stappen!$AA134,FALSE)</f>
        <v>89.440800000098534</v>
      </c>
      <c r="AO134" s="35">
        <f>HLOOKUP(AO$116+20,Kostengegevens!$AK$74:$BN$135,Stappen!$AA134,FALSE)</f>
        <v>72.572488000267185</v>
      </c>
      <c r="AP134" s="3"/>
      <c r="AQ134" s="35">
        <f>HLOOKUP(AQ$116+30,Kostengegevens!$AK$74:$BN$135,Stappen!$AA134,FALSE)</f>
        <v>150.03149999864399</v>
      </c>
      <c r="AR134" s="35">
        <f>HLOOKUP(AR$116+30,Kostengegevens!$AK$74:$BN$135,Stappen!$AA134,FALSE)</f>
        <v>287.5</v>
      </c>
      <c r="AS134" s="35">
        <f>HLOOKUP(AS$116+30,Kostengegevens!$AK$74:$BN$135,Stappen!$AA134,FALSE)</f>
        <v>564.3294166661799</v>
      </c>
      <c r="AT134" s="35">
        <f>HLOOKUP(AT$116+30,Kostengegevens!$AK$74:$BN$135,Stappen!$AA134,FALSE)</f>
        <v>1458.3805400021374</v>
      </c>
      <c r="AU134" s="3"/>
      <c r="AV134" s="35">
        <f>HLOOKUP(AV$116+40,Kostengegevens!$AK$74:$BN$135,Stappen!$AA134,FALSE)</f>
        <v>26.107500000012806</v>
      </c>
      <c r="AW134" s="35">
        <f>HLOOKUP(AW$116+40,Kostengegevens!$AK$74:$BN$135,Stappen!$AA134,FALSE)</f>
        <v>15.387800000011339</v>
      </c>
      <c r="AX134" s="35">
        <f>HLOOKUP(AX$116+40,Kostengegevens!$AK$74:$BN$135,Stappen!$AA134,FALSE)</f>
        <v>72.909133333349018</v>
      </c>
      <c r="AY134" s="35">
        <f>HLOOKUP(AY$116+40,Kostengegevens!$AK$74:$BN$135,Stappen!$AA134,FALSE)</f>
        <v>30.552288000006229</v>
      </c>
      <c r="AZ134" s="3"/>
      <c r="BA134" s="35">
        <f>HLOOKUP(BA$116+50,Kostengegevens!$AK$74:$BN$135,Stappen!$AA134,FALSE)</f>
        <v>4.104749999998603</v>
      </c>
      <c r="BB134" s="35">
        <f>HLOOKUP(BB$116+50,Kostengegevens!$AK$74:$BN$135,Stappen!$AA134,FALSE)</f>
        <v>1.7460000000428408</v>
      </c>
      <c r="BC134" s="35">
        <f>HLOOKUP(BC$116+50,Kostengegevens!$AK$74:$BN$135,Stappen!$AA134,FALSE)</f>
        <v>0</v>
      </c>
      <c r="BD134" s="35">
        <f>HLOOKUP(BD$116+50,Kostengegevens!$AK$74:$BN$135,Stappen!$AA134,FALSE)</f>
        <v>3.2338000000163447</v>
      </c>
      <c r="BE134" s="3"/>
      <c r="BG134" s="2">
        <v>5</v>
      </c>
      <c r="BH134" s="57">
        <v>19</v>
      </c>
      <c r="BI134" s="35">
        <f>BJ134/BJ$28*BI$28</f>
        <v>84.112149532710276</v>
      </c>
      <c r="BJ134" s="56">
        <f>HLOOKUP(BJ$116,$BL$116:$BP$178,BH134,FALSE)*VLOOKUP($BG134,$BH$24:$BJ$46,3,FALSE)</f>
        <v>84.112149532710276</v>
      </c>
      <c r="BK134" s="47" t="s">
        <v>22</v>
      </c>
      <c r="BL134" s="102">
        <f>384/507</f>
        <v>0.75739644970414199</v>
      </c>
      <c r="BM134" s="102">
        <f>60/93</f>
        <v>0.64516129032258063</v>
      </c>
      <c r="BN134" s="102">
        <f>335/494</f>
        <v>0.67813765182186236</v>
      </c>
      <c r="BO134" s="102">
        <f>975/1390</f>
        <v>0.70143884892086328</v>
      </c>
      <c r="BP134" s="102">
        <f>384/507</f>
        <v>0.75739644970414199</v>
      </c>
      <c r="BR134" s="2">
        <v>5</v>
      </c>
      <c r="BS134" s="2">
        <v>5</v>
      </c>
      <c r="BT134" s="2">
        <v>5</v>
      </c>
      <c r="BU134" s="2">
        <v>5</v>
      </c>
      <c r="CA134" s="503"/>
      <c r="CB134" s="502"/>
      <c r="CC134" s="426">
        <f t="shared" si="129"/>
        <v>0</v>
      </c>
      <c r="CD134" s="429">
        <f t="shared" si="130"/>
        <v>0</v>
      </c>
      <c r="CE134" s="459" t="s">
        <v>22</v>
      </c>
      <c r="CF134" s="460"/>
      <c r="CG134" s="503"/>
      <c r="CH134" s="502"/>
      <c r="CI134" s="426">
        <f t="shared" si="131"/>
        <v>0</v>
      </c>
      <c r="CJ134" s="429">
        <f t="shared" si="132"/>
        <v>0</v>
      </c>
      <c r="CK134" s="459" t="s">
        <v>22</v>
      </c>
      <c r="CL134" s="460"/>
      <c r="CM134" s="503"/>
      <c r="CN134" s="502"/>
      <c r="CO134" s="426">
        <f t="shared" si="133"/>
        <v>0</v>
      </c>
      <c r="CP134" s="429">
        <f t="shared" si="134"/>
        <v>0</v>
      </c>
      <c r="CQ134" s="459" t="s">
        <v>22</v>
      </c>
      <c r="CR134" s="460"/>
      <c r="CS134" s="503"/>
      <c r="CT134" s="502"/>
      <c r="CU134" s="426">
        <f t="shared" si="135"/>
        <v>0</v>
      </c>
      <c r="CV134" s="429">
        <f t="shared" si="136"/>
        <v>0</v>
      </c>
      <c r="CW134" s="459" t="s">
        <v>22</v>
      </c>
      <c r="CX134" s="460"/>
      <c r="CY134" s="503"/>
      <c r="CZ134" s="502"/>
      <c r="DA134" s="426"/>
      <c r="DB134" s="429"/>
      <c r="DC134" s="459"/>
      <c r="DD134" s="460"/>
    </row>
    <row r="135" spans="1:108" x14ac:dyDescent="0.2">
      <c r="A135" s="1" t="s">
        <v>167</v>
      </c>
      <c r="C135" s="211" t="s">
        <v>54</v>
      </c>
      <c r="D135" s="501"/>
      <c r="E135" s="502"/>
      <c r="F135" s="504"/>
      <c r="G135" s="505"/>
      <c r="H135" s="459"/>
      <c r="I135" s="460"/>
      <c r="J135" s="156"/>
      <c r="K135" s="9"/>
      <c r="L135" s="27"/>
      <c r="M135" s="12"/>
      <c r="N135" s="9"/>
      <c r="O135" s="27"/>
      <c r="P135" s="84"/>
      <c r="T135" s="91"/>
      <c r="U135" s="263"/>
      <c r="V135" s="263"/>
      <c r="W135" s="263"/>
      <c r="X135" s="263"/>
      <c r="Y135" s="263"/>
      <c r="AA135" s="35">
        <f t="shared" si="95"/>
        <v>20</v>
      </c>
      <c r="AB135" s="35">
        <f>HLOOKUP(AB$116,Kostengegevens!$AK$74:$BN$135,Stappen!$AA135,FALSE)</f>
        <v>0</v>
      </c>
      <c r="AC135" s="35">
        <f>HLOOKUP(AC$116,Kostengegevens!$AK$74:$BN$135,Stappen!$AA135,FALSE)</f>
        <v>0</v>
      </c>
      <c r="AD135" s="35">
        <f>HLOOKUP(AD$116,Kostengegevens!$AK$74:$BN$135,Stappen!$AA135,FALSE)</f>
        <v>0</v>
      </c>
      <c r="AE135" s="35">
        <f>HLOOKUP(AE$116,Kostengegevens!$AK$74:$BN$135,Stappen!$AA135,FALSE)</f>
        <v>0</v>
      </c>
      <c r="AF135" s="3"/>
      <c r="AG135" s="35">
        <f>HLOOKUP(AG$116+10,Kostengegevens!$AK$74:$BN$135,Stappen!$AA135,FALSE)</f>
        <v>0</v>
      </c>
      <c r="AH135" s="35">
        <f>HLOOKUP(AH$116+10,Kostengegevens!$AK$74:$BN$135,Stappen!$AA135,FALSE)</f>
        <v>0</v>
      </c>
      <c r="AI135" s="35">
        <f>HLOOKUP(AI$116+10,Kostengegevens!$AK$74:$BN$135,Stappen!$AA135,FALSE)</f>
        <v>0</v>
      </c>
      <c r="AJ135" s="35">
        <f>HLOOKUP(AJ$116+10,Kostengegevens!$AK$74:$BN$135,Stappen!$AA135,FALSE)</f>
        <v>0</v>
      </c>
      <c r="AK135" s="3"/>
      <c r="AL135" s="35">
        <f>HLOOKUP(AL$116+20,Kostengegevens!$AK$74:$BN$135,Stappen!$AA135,FALSE)</f>
        <v>0</v>
      </c>
      <c r="AM135" s="35">
        <f>HLOOKUP(AM$116+20,Kostengegevens!$AK$74:$BN$135,Stappen!$AA135,FALSE)</f>
        <v>0</v>
      </c>
      <c r="AN135" s="35">
        <f>HLOOKUP(AN$116+20,Kostengegevens!$AK$74:$BN$135,Stappen!$AA135,FALSE)</f>
        <v>0</v>
      </c>
      <c r="AO135" s="35">
        <f>HLOOKUP(AO$116+20,Kostengegevens!$AK$74:$BN$135,Stappen!$AA135,FALSE)</f>
        <v>0</v>
      </c>
      <c r="AP135" s="3"/>
      <c r="AQ135" s="35">
        <f>HLOOKUP(AQ$116+30,Kostengegevens!$AK$74:$BN$135,Stappen!$AA135,FALSE)</f>
        <v>0</v>
      </c>
      <c r="AR135" s="35">
        <f>HLOOKUP(AR$116+30,Kostengegevens!$AK$74:$BN$135,Stappen!$AA135,FALSE)</f>
        <v>0</v>
      </c>
      <c r="AS135" s="35">
        <f>HLOOKUP(AS$116+30,Kostengegevens!$AK$74:$BN$135,Stappen!$AA135,FALSE)</f>
        <v>0</v>
      </c>
      <c r="AT135" s="35">
        <f>HLOOKUP(AT$116+30,Kostengegevens!$AK$74:$BN$135,Stappen!$AA135,FALSE)</f>
        <v>0</v>
      </c>
      <c r="AU135" s="3"/>
      <c r="AV135" s="35">
        <f>HLOOKUP(AV$116+40,Kostengegevens!$AK$74:$BN$135,Stappen!$AA135,FALSE)</f>
        <v>0</v>
      </c>
      <c r="AW135" s="35">
        <f>HLOOKUP(AW$116+40,Kostengegevens!$AK$74:$BN$135,Stappen!$AA135,FALSE)</f>
        <v>0</v>
      </c>
      <c r="AX135" s="35">
        <f>HLOOKUP(AX$116+40,Kostengegevens!$AK$74:$BN$135,Stappen!$AA135,FALSE)</f>
        <v>0</v>
      </c>
      <c r="AY135" s="35">
        <f>HLOOKUP(AY$116+40,Kostengegevens!$AK$74:$BN$135,Stappen!$AA135,FALSE)</f>
        <v>0</v>
      </c>
      <c r="AZ135" s="3"/>
      <c r="BA135" s="35">
        <f>HLOOKUP(BA$116+50,Kostengegevens!$AK$74:$BN$135,Stappen!$AA135,FALSE)</f>
        <v>0</v>
      </c>
      <c r="BB135" s="35">
        <f>HLOOKUP(BB$116+50,Kostengegevens!$AK$74:$BN$135,Stappen!$AA135,FALSE)</f>
        <v>0</v>
      </c>
      <c r="BC135" s="35">
        <f>HLOOKUP(BC$116+50,Kostengegevens!$AK$74:$BN$135,Stappen!$AA135,FALSE)</f>
        <v>0</v>
      </c>
      <c r="BD135" s="35">
        <f>HLOOKUP(BD$116+50,Kostengegevens!$AK$74:$BN$135,Stappen!$AA135,FALSE)</f>
        <v>0</v>
      </c>
      <c r="BE135" s="3"/>
      <c r="BH135" s="57">
        <v>20</v>
      </c>
      <c r="BI135" s="53"/>
      <c r="BJ135" s="56"/>
      <c r="BK135" s="47"/>
      <c r="BL135" s="102"/>
      <c r="BM135" s="102"/>
      <c r="BN135" s="102"/>
      <c r="BO135" s="102"/>
      <c r="BP135" s="102"/>
      <c r="CA135" s="501"/>
      <c r="CB135" s="502"/>
      <c r="CC135" s="504"/>
      <c r="CD135" s="505"/>
      <c r="CE135" s="459"/>
      <c r="CF135" s="460"/>
      <c r="CG135" s="501"/>
      <c r="CH135" s="502"/>
      <c r="CI135" s="504"/>
      <c r="CJ135" s="505"/>
      <c r="CK135" s="459"/>
      <c r="CL135" s="460"/>
      <c r="CM135" s="501"/>
      <c r="CN135" s="502"/>
      <c r="CO135" s="504"/>
      <c r="CP135" s="505"/>
      <c r="CQ135" s="459"/>
      <c r="CR135" s="460"/>
      <c r="CS135" s="501"/>
      <c r="CT135" s="502"/>
      <c r="CU135" s="504"/>
      <c r="CV135" s="505"/>
      <c r="CW135" s="459"/>
      <c r="CX135" s="460"/>
      <c r="CY135" s="501"/>
      <c r="CZ135" s="502"/>
      <c r="DA135" s="504"/>
      <c r="DB135" s="505"/>
      <c r="DC135" s="459"/>
      <c r="DD135" s="460"/>
    </row>
    <row r="136" spans="1:108" x14ac:dyDescent="0.2">
      <c r="A136" s="49"/>
      <c r="B136" s="33">
        <v>22</v>
      </c>
      <c r="C136" s="212" t="s">
        <v>421</v>
      </c>
      <c r="D136" s="503"/>
      <c r="E136" s="502"/>
      <c r="F136" s="426">
        <f t="shared" ref="F136:F138" si="137">BI136</f>
        <v>89.719626168224295</v>
      </c>
      <c r="G136" s="429">
        <f t="shared" ref="G136:G138" si="138">BJ136</f>
        <v>89.719626168224295</v>
      </c>
      <c r="H136" s="459" t="s">
        <v>22</v>
      </c>
      <c r="I136" s="460"/>
      <c r="J136" s="156">
        <f>HLOOKUP($Z136,$AB$116:$AF$183,$AA136,FALSE)*$F136</f>
        <v>3886.923364483725</v>
      </c>
      <c r="K136" s="9">
        <f t="shared" si="90"/>
        <v>690.72897196355677</v>
      </c>
      <c r="L136" s="27">
        <f t="shared" si="91"/>
        <v>3418.9233644787114</v>
      </c>
      <c r="M136" s="12">
        <f t="shared" si="92"/>
        <v>42575.663551340032</v>
      </c>
      <c r="N136" s="9">
        <f t="shared" si="93"/>
        <v>1388.6803738310471</v>
      </c>
      <c r="O136" s="27">
        <f t="shared" si="94"/>
        <v>154.2056074798995</v>
      </c>
      <c r="T136" s="91" t="str">
        <f>CONCATENATE("ref: ",Referentieproject!T136)</f>
        <v>ref: 2 gipsblokken</v>
      </c>
      <c r="U136" s="263" t="s">
        <v>99</v>
      </c>
      <c r="V136" s="263" t="s">
        <v>98</v>
      </c>
      <c r="W136" s="263" t="s">
        <v>97</v>
      </c>
      <c r="X136" s="263" t="s">
        <v>96</v>
      </c>
      <c r="Y136" s="263" t="s">
        <v>62</v>
      </c>
      <c r="Z136" s="2">
        <f>IF(D216=T136,Referentieproject!Z136,IF(D216=U136,1,IF(D216=V136,2,IF(D216=W136,3,IF(D216=X136,4,5)))))</f>
        <v>2</v>
      </c>
      <c r="AA136" s="35">
        <f t="shared" si="95"/>
        <v>21</v>
      </c>
      <c r="AB136" s="35">
        <f>HLOOKUP(AB$116,Kostengegevens!$AK$74:$BN$135,Stappen!$AA136,FALSE)</f>
        <v>84.9910000001546</v>
      </c>
      <c r="AC136" s="35">
        <f>HLOOKUP(AC$116,Kostengegevens!$AK$74:$BN$135,Stappen!$AA136,FALSE)</f>
        <v>43.322999999974854</v>
      </c>
      <c r="AD136" s="35">
        <f>HLOOKUP(AD$116,Kostengegevens!$AK$74:$BN$135,Stappen!$AA136,FALSE)</f>
        <v>71.348549999995157</v>
      </c>
      <c r="AE136" s="35">
        <f>HLOOKUP(AE$116,Kostengegevens!$AK$74:$BN$135,Stappen!$AA136,FALSE)</f>
        <v>64.499999999941792</v>
      </c>
      <c r="AF136" s="3"/>
      <c r="AG136" s="35">
        <f>HLOOKUP(AG$116+10,Kostengegevens!$AK$74:$BN$135,Stappen!$AA136,FALSE)</f>
        <v>10.098000000056345</v>
      </c>
      <c r="AH136" s="35">
        <f>HLOOKUP(AH$116+10,Kostengegevens!$AK$74:$BN$135,Stappen!$AA136,FALSE)</f>
        <v>7.6987500000104774</v>
      </c>
      <c r="AI136" s="35">
        <f>HLOOKUP(AI$116+10,Kostengegevens!$AK$74:$BN$135,Stappen!$AA136,FALSE)</f>
        <v>9.116500000061933</v>
      </c>
      <c r="AJ136" s="35">
        <f>HLOOKUP(AJ$116+10,Kostengegevens!$AK$74:$BN$135,Stappen!$AA136,FALSE)</f>
        <v>11.327500000028522</v>
      </c>
      <c r="AK136" s="3"/>
      <c r="AL136" s="35">
        <f>HLOOKUP(AL$116+20,Kostengegevens!$AK$74:$BN$135,Stappen!$AA136,FALSE)</f>
        <v>35.262500000069849</v>
      </c>
      <c r="AM136" s="35">
        <f>HLOOKUP(AM$116+20,Kostengegevens!$AK$74:$BN$135,Stappen!$AA136,FALSE)</f>
        <v>38.106749999918975</v>
      </c>
      <c r="AN136" s="35">
        <f>HLOOKUP(AN$116+20,Kostengegevens!$AK$74:$BN$135,Stappen!$AA136,FALSE)</f>
        <v>37.948049999948125</v>
      </c>
      <c r="AO136" s="35">
        <f>HLOOKUP(AO$116+20,Kostengegevens!$AK$74:$BN$135,Stappen!$AA136,FALSE)</f>
        <v>35.288749999948777</v>
      </c>
      <c r="AP136" s="3"/>
      <c r="AQ136" s="35">
        <f>HLOOKUP(AQ$116+30,Kostengegevens!$AK$74:$BN$135,Stappen!$AA136,FALSE)</f>
        <v>365.79674999974668</v>
      </c>
      <c r="AR136" s="35">
        <f>HLOOKUP(AR$116+30,Kostengegevens!$AK$74:$BN$135,Stappen!$AA136,FALSE)</f>
        <v>474.54124999931082</v>
      </c>
      <c r="AS136" s="35">
        <f>HLOOKUP(AS$116+30,Kostengegevens!$AK$74:$BN$135,Stappen!$AA136,FALSE)</f>
        <v>557.86975000053644</v>
      </c>
      <c r="AT136" s="35">
        <f>HLOOKUP(AT$116+30,Kostengegevens!$AK$74:$BN$135,Stappen!$AA136,FALSE)</f>
        <v>662.64500000234693</v>
      </c>
      <c r="AU136" s="3"/>
      <c r="AV136" s="35">
        <f>HLOOKUP(AV$116+40,Kostengegevens!$AK$74:$BN$135,Stappen!$AA136,FALSE)</f>
        <v>7.8564999999944121</v>
      </c>
      <c r="AW136" s="35">
        <f>HLOOKUP(AW$116+40,Kostengegevens!$AK$74:$BN$135,Stappen!$AA136,FALSE)</f>
        <v>15.47799999999188</v>
      </c>
      <c r="AX136" s="35">
        <f>HLOOKUP(AX$116+40,Kostengegevens!$AK$74:$BN$135,Stappen!$AA136,FALSE)</f>
        <v>10.656550000017887</v>
      </c>
      <c r="AY136" s="35">
        <f>HLOOKUP(AY$116+40,Kostengegevens!$AK$74:$BN$135,Stappen!$AA136,FALSE)</f>
        <v>3.242500000000291</v>
      </c>
      <c r="AZ136" s="3"/>
      <c r="BA136" s="35">
        <f>HLOOKUP(BA$116+50,Kostengegevens!$AK$74:$BN$135,Stappen!$AA136,FALSE)</f>
        <v>3.3977500000037253</v>
      </c>
      <c r="BB136" s="35">
        <f>HLOOKUP(BB$116+50,Kostengegevens!$AK$74:$BN$135,Stappen!$AA136,FALSE)</f>
        <v>1.7187500000363798</v>
      </c>
      <c r="BC136" s="35">
        <f>HLOOKUP(BC$116+50,Kostengegevens!$AK$74:$BN$135,Stappen!$AA136,FALSE)</f>
        <v>3.0639999999621068</v>
      </c>
      <c r="BD136" s="35">
        <f>HLOOKUP(BD$116+50,Kostengegevens!$AK$74:$BN$135,Stappen!$AA136,FALSE)</f>
        <v>1.9600000000282307</v>
      </c>
      <c r="BE136" s="3"/>
      <c r="BG136" s="2">
        <v>6</v>
      </c>
      <c r="BH136" s="57">
        <v>21</v>
      </c>
      <c r="BI136" s="35">
        <f>BJ136/BJ$29*BI$29</f>
        <v>89.719626168224295</v>
      </c>
      <c r="BJ136" s="56">
        <f>HLOOKUP(BJ$116,$BL$116:$BP$178,BH136,FALSE)*VLOOKUP($BG136,$BH$24:$BJ$46,3,FALSE)</f>
        <v>89.719626168224295</v>
      </c>
      <c r="BK136" s="47" t="s">
        <v>22</v>
      </c>
      <c r="BL136" s="102">
        <f>448/926</f>
        <v>0.48380129589632831</v>
      </c>
      <c r="BM136" s="102">
        <f>768/1284</f>
        <v>0.59813084112149528</v>
      </c>
      <c r="BN136" s="102">
        <f>180/398</f>
        <v>0.45226130653266333</v>
      </c>
      <c r="BO136" s="102">
        <f>383/1141</f>
        <v>0.33567046450482035</v>
      </c>
      <c r="BP136" s="102">
        <f>448/926</f>
        <v>0.48380129589632831</v>
      </c>
      <c r="BR136" s="2">
        <v>2</v>
      </c>
      <c r="BS136" s="2">
        <v>2</v>
      </c>
      <c r="BT136" s="2">
        <v>1</v>
      </c>
      <c r="BU136" s="2">
        <v>1</v>
      </c>
      <c r="CA136" s="503"/>
      <c r="CB136" s="502"/>
      <c r="CC136" s="426">
        <f t="shared" ref="CC136:CC138" si="139">EF136</f>
        <v>0</v>
      </c>
      <c r="CD136" s="429">
        <f t="shared" ref="CD136:CD138" si="140">EG136</f>
        <v>0</v>
      </c>
      <c r="CE136" s="459" t="s">
        <v>22</v>
      </c>
      <c r="CF136" s="460"/>
      <c r="CG136" s="503"/>
      <c r="CH136" s="502"/>
      <c r="CI136" s="426">
        <f t="shared" ref="CI136:CI138" si="141">EL136</f>
        <v>0</v>
      </c>
      <c r="CJ136" s="429">
        <f t="shared" ref="CJ136:CJ138" si="142">EM136</f>
        <v>0</v>
      </c>
      <c r="CK136" s="459" t="s">
        <v>22</v>
      </c>
      <c r="CL136" s="460"/>
      <c r="CM136" s="503"/>
      <c r="CN136" s="502"/>
      <c r="CO136" s="426">
        <f t="shared" ref="CO136:CO138" si="143">ER136</f>
        <v>0</v>
      </c>
      <c r="CP136" s="429">
        <f t="shared" ref="CP136:CP138" si="144">ES136</f>
        <v>0</v>
      </c>
      <c r="CQ136" s="459" t="s">
        <v>22</v>
      </c>
      <c r="CR136" s="460"/>
      <c r="CS136" s="503"/>
      <c r="CT136" s="502"/>
      <c r="CU136" s="426">
        <f t="shared" ref="CU136:CU138" si="145">EX136</f>
        <v>0</v>
      </c>
      <c r="CV136" s="429">
        <f t="shared" ref="CV136:CV138" si="146">EY136</f>
        <v>0</v>
      </c>
      <c r="CW136" s="459" t="s">
        <v>22</v>
      </c>
      <c r="CX136" s="460"/>
      <c r="CY136" s="503"/>
      <c r="CZ136" s="502"/>
      <c r="DA136" s="426"/>
      <c r="DB136" s="429"/>
      <c r="DC136" s="459"/>
      <c r="DD136" s="460"/>
    </row>
    <row r="137" spans="1:108" x14ac:dyDescent="0.2">
      <c r="A137" s="49"/>
      <c r="B137" s="33">
        <v>32</v>
      </c>
      <c r="C137" s="212" t="s">
        <v>304</v>
      </c>
      <c r="D137" s="503"/>
      <c r="E137" s="502"/>
      <c r="F137" s="426">
        <f t="shared" si="137"/>
        <v>22.429906542056074</v>
      </c>
      <c r="G137" s="429">
        <f t="shared" si="138"/>
        <v>22.429906542056074</v>
      </c>
      <c r="H137" s="459" t="s">
        <v>22</v>
      </c>
      <c r="I137" s="460"/>
      <c r="J137" s="156">
        <f>HLOOKUP($Z137,$AB$116:$AF$183,$AA137,FALSE)*$F137</f>
        <v>3064.4085981331223</v>
      </c>
      <c r="K137" s="9">
        <f t="shared" si="90"/>
        <v>550.71233644813924</v>
      </c>
      <c r="L137" s="27">
        <f t="shared" si="91"/>
        <v>1851.7988785050748</v>
      </c>
      <c r="M137" s="12">
        <f t="shared" si="92"/>
        <v>22961.151214944668</v>
      </c>
      <c r="N137" s="9">
        <f t="shared" si="93"/>
        <v>694.161869158944</v>
      </c>
      <c r="O137" s="27">
        <f t="shared" si="94"/>
        <v>171.8638317761114</v>
      </c>
      <c r="T137" s="91" t="str">
        <f>CONCATENATE("ref: ",Referentieproject!T137)</f>
        <v>ref: 1 gezet-stalen kozijnen/opdekdeuren</v>
      </c>
      <c r="U137" s="263" t="s">
        <v>100</v>
      </c>
      <c r="V137" s="263" t="s">
        <v>101</v>
      </c>
      <c r="W137" s="263" t="s">
        <v>102</v>
      </c>
      <c r="X137" s="263" t="s">
        <v>103</v>
      </c>
      <c r="Y137" s="263" t="s">
        <v>62</v>
      </c>
      <c r="Z137" s="2">
        <f>IF(D217=T137,Referentieproject!Z137,IF(D217=U137,1,IF(D217=V137,2,IF(D217=W137,3,IF(D217=X137,4,5)))))</f>
        <v>1</v>
      </c>
      <c r="AA137" s="35">
        <f t="shared" si="95"/>
        <v>22</v>
      </c>
      <c r="AB137" s="35">
        <f>HLOOKUP(AB$116,Kostengegevens!$AK$74:$BN$135,Stappen!$AA137,FALSE)</f>
        <v>136.62155000010171</v>
      </c>
      <c r="AC137" s="35">
        <f>HLOOKUP(AC$116,Kostengegevens!$AK$74:$BN$135,Stappen!$AA137,FALSE)</f>
        <v>241.64098166673239</v>
      </c>
      <c r="AD137" s="35">
        <f>HLOOKUP(AD$116,Kostengegevens!$AK$74:$BN$135,Stappen!$AA137,FALSE)</f>
        <v>354.27165555552756</v>
      </c>
      <c r="AE137" s="35">
        <f>HLOOKUP(AE$116,Kostengegevens!$AK$74:$BN$135,Stappen!$AA137,FALSE)</f>
        <v>341.47230000001537</v>
      </c>
      <c r="AF137" s="3"/>
      <c r="AG137" s="35">
        <f>HLOOKUP(AG$116+10,Kostengegevens!$AK$74:$BN$135,Stappen!$AA137,FALSE)</f>
        <v>24.552591666646208</v>
      </c>
      <c r="AH137" s="35">
        <f>HLOOKUP(AH$116+10,Kostengegevens!$AK$74:$BN$135,Stappen!$AA137,FALSE)</f>
        <v>53.049033333451348</v>
      </c>
      <c r="AI137" s="35">
        <f>HLOOKUP(AI$116+10,Kostengegevens!$AK$74:$BN$135,Stappen!$AA137,FALSE)</f>
        <v>77.376805555634178</v>
      </c>
      <c r="AJ137" s="35">
        <f>HLOOKUP(AJ$116+10,Kostengegevens!$AK$74:$BN$135,Stappen!$AA137,FALSE)</f>
        <v>99.481138888962505</v>
      </c>
      <c r="AK137" s="3"/>
      <c r="AL137" s="35">
        <f>HLOOKUP(AL$116+20,Kostengegevens!$AK$74:$BN$135,Stappen!$AA137,FALSE)</f>
        <v>82.559366666684582</v>
      </c>
      <c r="AM137" s="35">
        <f>HLOOKUP(AM$116+20,Kostengegevens!$AK$74:$BN$135,Stappen!$AA137,FALSE)</f>
        <v>148.81110166665553</v>
      </c>
      <c r="AN137" s="35">
        <f>HLOOKUP(AN$116+20,Kostengegevens!$AK$74:$BN$135,Stappen!$AA137,FALSE)</f>
        <v>213.60148888881736</v>
      </c>
      <c r="AO137" s="35">
        <f>HLOOKUP(AO$116+20,Kostengegevens!$AK$74:$BN$135,Stappen!$AA137,FALSE)</f>
        <v>299.81602222213724</v>
      </c>
      <c r="AP137" s="3"/>
      <c r="AQ137" s="35">
        <f>HLOOKUP(AQ$116+30,Kostengegevens!$AK$74:$BN$135,Stappen!$AA137,FALSE)</f>
        <v>1023.6846583329498</v>
      </c>
      <c r="AR137" s="35">
        <f>HLOOKUP(AR$116+30,Kostengegevens!$AK$74:$BN$135,Stappen!$AA137,FALSE)</f>
        <v>2191.8973099999166</v>
      </c>
      <c r="AS137" s="35">
        <f>HLOOKUP(AS$116+30,Kostengegevens!$AK$74:$BN$135,Stappen!$AA137,FALSE)</f>
        <v>2363.548361109275</v>
      </c>
      <c r="AT137" s="35">
        <f>HLOOKUP(AT$116+30,Kostengegevens!$AK$74:$BN$135,Stappen!$AA137,FALSE)</f>
        <v>3740.5278055523813</v>
      </c>
      <c r="AU137" s="3"/>
      <c r="AV137" s="35">
        <f>HLOOKUP(AV$116+40,Kostengegevens!$AK$74:$BN$135,Stappen!$AA137,FALSE)</f>
        <v>30.948050000002922</v>
      </c>
      <c r="AW137" s="35">
        <f>HLOOKUP(AW$116+40,Kostengegevens!$AK$74:$BN$135,Stappen!$AA137,FALSE)</f>
        <v>52.030148333343277</v>
      </c>
      <c r="AX137" s="35">
        <f>HLOOKUP(AX$116+40,Kostengegevens!$AK$74:$BN$135,Stappen!$AA137,FALSE)</f>
        <v>97.101711111099007</v>
      </c>
      <c r="AY137" s="35">
        <f>HLOOKUP(AY$116+40,Kostengegevens!$AK$74:$BN$135,Stappen!$AA137,FALSE)</f>
        <v>105.4250222222264</v>
      </c>
      <c r="AZ137" s="3"/>
      <c r="BA137" s="35">
        <f>HLOOKUP(BA$116+50,Kostengegevens!$AK$74:$BN$135,Stappen!$AA137,FALSE)</f>
        <v>7.6622625000183007</v>
      </c>
      <c r="BB137" s="35">
        <f>HLOOKUP(BB$116+50,Kostengegevens!$AK$74:$BN$135,Stappen!$AA137,FALSE)</f>
        <v>20.626528333315264</v>
      </c>
      <c r="BC137" s="35">
        <f>HLOOKUP(BC$116+50,Kostengegevens!$AK$74:$BN$135,Stappen!$AA137,FALSE)</f>
        <v>19.801819444454253</v>
      </c>
      <c r="BD137" s="35">
        <f>HLOOKUP(BD$116+50,Kostengegevens!$AK$74:$BN$135,Stappen!$AA137,FALSE)</f>
        <v>62.044041666643324</v>
      </c>
      <c r="BE137" s="3"/>
      <c r="BG137" s="2">
        <v>6</v>
      </c>
      <c r="BH137" s="57">
        <v>22</v>
      </c>
      <c r="BI137" s="35">
        <f>BJ137/BJ$29*BI$29</f>
        <v>22.429906542056074</v>
      </c>
      <c r="BJ137" s="56">
        <f>HLOOKUP(BJ$116,$BL$116:$BP$178,BH137,FALSE)*VLOOKUP($BG137,$BH$24:$BJ$46,3,FALSE)</f>
        <v>22.429906542056074</v>
      </c>
      <c r="BK137" s="47" t="s">
        <v>22</v>
      </c>
      <c r="BL137" s="102">
        <f>121/926</f>
        <v>0.13066954643628509</v>
      </c>
      <c r="BM137" s="102">
        <f>192/1284</f>
        <v>0.14953271028037382</v>
      </c>
      <c r="BN137" s="102">
        <f>58/398</f>
        <v>0.14572864321608039</v>
      </c>
      <c r="BO137" s="102">
        <f>219/1141</f>
        <v>0.19193689745836984</v>
      </c>
      <c r="BP137" s="102">
        <f>121/926</f>
        <v>0.13066954643628509</v>
      </c>
      <c r="BR137" s="2">
        <v>1</v>
      </c>
      <c r="BS137" s="2">
        <v>1</v>
      </c>
      <c r="BT137" s="2">
        <v>2</v>
      </c>
      <c r="BU137" s="2">
        <v>2</v>
      </c>
      <c r="CA137" s="503"/>
      <c r="CB137" s="502"/>
      <c r="CC137" s="426">
        <f t="shared" si="139"/>
        <v>0</v>
      </c>
      <c r="CD137" s="429">
        <f t="shared" si="140"/>
        <v>0</v>
      </c>
      <c r="CE137" s="459" t="s">
        <v>22</v>
      </c>
      <c r="CF137" s="460"/>
      <c r="CG137" s="503"/>
      <c r="CH137" s="502"/>
      <c r="CI137" s="426">
        <f t="shared" si="141"/>
        <v>0</v>
      </c>
      <c r="CJ137" s="429">
        <f t="shared" si="142"/>
        <v>0</v>
      </c>
      <c r="CK137" s="459" t="s">
        <v>22</v>
      </c>
      <c r="CL137" s="460"/>
      <c r="CM137" s="503"/>
      <c r="CN137" s="502"/>
      <c r="CO137" s="426">
        <f t="shared" si="143"/>
        <v>0</v>
      </c>
      <c r="CP137" s="429">
        <f t="shared" si="144"/>
        <v>0</v>
      </c>
      <c r="CQ137" s="459" t="s">
        <v>22</v>
      </c>
      <c r="CR137" s="460"/>
      <c r="CS137" s="503"/>
      <c r="CT137" s="502"/>
      <c r="CU137" s="426">
        <f t="shared" si="145"/>
        <v>0</v>
      </c>
      <c r="CV137" s="429">
        <f t="shared" si="146"/>
        <v>0</v>
      </c>
      <c r="CW137" s="459" t="s">
        <v>22</v>
      </c>
      <c r="CX137" s="460"/>
      <c r="CY137" s="503"/>
      <c r="CZ137" s="502"/>
      <c r="DA137" s="426"/>
      <c r="DB137" s="429"/>
      <c r="DC137" s="459"/>
      <c r="DD137" s="460"/>
    </row>
    <row r="138" spans="1:108" x14ac:dyDescent="0.2">
      <c r="A138" s="49"/>
      <c r="B138" s="33">
        <v>42</v>
      </c>
      <c r="C138" s="212" t="s">
        <v>305</v>
      </c>
      <c r="D138" s="503"/>
      <c r="E138" s="502"/>
      <c r="F138" s="426">
        <f t="shared" si="137"/>
        <v>330.84112149532706</v>
      </c>
      <c r="G138" s="429">
        <f t="shared" si="138"/>
        <v>330.84112149532706</v>
      </c>
      <c r="H138" s="459" t="s">
        <v>22</v>
      </c>
      <c r="I138" s="460"/>
      <c r="J138" s="156">
        <f>HLOOKUP($Z138,$AB$116:$AF$183,$AA138,FALSE)*$F138</f>
        <v>1862.0942579430709</v>
      </c>
      <c r="K138" s="9">
        <f t="shared" si="90"/>
        <v>267.3130093471251</v>
      </c>
      <c r="L138" s="27">
        <f t="shared" si="91"/>
        <v>1561.5002859863455</v>
      </c>
      <c r="M138" s="12">
        <f t="shared" si="92"/>
        <v>8195.7831869325073</v>
      </c>
      <c r="N138" s="9">
        <f t="shared" si="93"/>
        <v>1172.7669308418733</v>
      </c>
      <c r="O138" s="27">
        <f t="shared" si="94"/>
        <v>53.133911214194988</v>
      </c>
      <c r="T138" s="91" t="str">
        <f>CONCATENATE("ref: ",Referentieproject!T138)</f>
        <v>ref: 1 woningbouw: behangklaar, tegels</v>
      </c>
      <c r="U138" s="263" t="s">
        <v>338</v>
      </c>
      <c r="V138" s="263" t="s">
        <v>104</v>
      </c>
      <c r="W138" s="263" t="s">
        <v>356</v>
      </c>
      <c r="X138" s="263" t="s">
        <v>115</v>
      </c>
      <c r="Y138" s="263" t="s">
        <v>62</v>
      </c>
      <c r="Z138" s="2">
        <f>IF(D218=T138,Referentieproject!Z138,IF(D218=U138,1,IF(D218=V138,2,IF(D218=W138,3,IF(D218=X138,4,5)))))</f>
        <v>1</v>
      </c>
      <c r="AA138" s="35">
        <f t="shared" si="95"/>
        <v>23</v>
      </c>
      <c r="AB138" s="35">
        <f>HLOOKUP(AB$116,Kostengegevens!$AK$74:$BN$135,Stappen!$AA138,FALSE)</f>
        <v>5.6283639999974184</v>
      </c>
      <c r="AC138" s="35">
        <f>HLOOKUP(AC$116,Kostengegevens!$AK$74:$BN$135,Stappen!$AA138,FALSE)</f>
        <v>5.6283639999974184</v>
      </c>
      <c r="AD138" s="35">
        <f>HLOOKUP(AD$116,Kostengegevens!$AK$74:$BN$135,Stappen!$AA138,FALSE)</f>
        <v>19.868363999941721</v>
      </c>
      <c r="AE138" s="35">
        <f>HLOOKUP(AE$116,Kostengegevens!$AK$74:$BN$135,Stappen!$AA138,FALSE)</f>
        <v>19.868363999941948</v>
      </c>
      <c r="AF138" s="3"/>
      <c r="AG138" s="35">
        <f>HLOOKUP(AG$116+10,Kostengegevens!$AK$74:$BN$135,Stappen!$AA138,FALSE)</f>
        <v>0.80798000000402226</v>
      </c>
      <c r="AH138" s="35">
        <f>HLOOKUP(AH$116+10,Kostengegevens!$AK$74:$BN$135,Stappen!$AA138,FALSE)</f>
        <v>0.80798000000402226</v>
      </c>
      <c r="AI138" s="35">
        <f>HLOOKUP(AI$116+10,Kostengegevens!$AK$74:$BN$135,Stappen!$AA138,FALSE)</f>
        <v>2.2479799999947545</v>
      </c>
      <c r="AJ138" s="35">
        <f>HLOOKUP(AJ$116+10,Kostengegevens!$AK$74:$BN$135,Stappen!$AA138,FALSE)</f>
        <v>2.2479799999947545</v>
      </c>
      <c r="AK138" s="3"/>
      <c r="AL138" s="35">
        <f>HLOOKUP(AL$116+20,Kostengegevens!$AK$74:$BN$135,Stappen!$AA138,FALSE)</f>
        <v>4.7197890000152256</v>
      </c>
      <c r="AM138" s="35">
        <f>HLOOKUP(AM$116+20,Kostengegevens!$AK$74:$BN$135,Stappen!$AA138,FALSE)</f>
        <v>4.7197890000152256</v>
      </c>
      <c r="AN138" s="35">
        <f>HLOOKUP(AN$116+20,Kostengegevens!$AK$74:$BN$135,Stappen!$AA138,FALSE)</f>
        <v>8.5717889999705221</v>
      </c>
      <c r="AO138" s="35">
        <f>HLOOKUP(AO$116+20,Kostengegevens!$AK$74:$BN$135,Stappen!$AA138,FALSE)</f>
        <v>8.5717889999705221</v>
      </c>
      <c r="AP138" s="3"/>
      <c r="AQ138" s="35">
        <f>HLOOKUP(AQ$116+30,Kostengegevens!$AK$74:$BN$135,Stappen!$AA138,FALSE)</f>
        <v>24.772565000050236</v>
      </c>
      <c r="AR138" s="35">
        <f>HLOOKUP(AR$116+30,Kostengegevens!$AK$74:$BN$135,Stappen!$AA138,FALSE)</f>
        <v>24.772565000050236</v>
      </c>
      <c r="AS138" s="35">
        <f>HLOOKUP(AS$116+30,Kostengegevens!$AK$74:$BN$135,Stappen!$AA138,FALSE)</f>
        <v>88.956565000407863</v>
      </c>
      <c r="AT138" s="35">
        <f>HLOOKUP(AT$116+30,Kostengegevens!$AK$74:$BN$135,Stappen!$AA138,FALSE)</f>
        <v>88.956565000407863</v>
      </c>
      <c r="AU138" s="3"/>
      <c r="AV138" s="35">
        <f>HLOOKUP(AV$116+40,Kostengegevens!$AK$74:$BN$135,Stappen!$AA138,FALSE)</f>
        <v>3.5448040000022729</v>
      </c>
      <c r="AW138" s="35">
        <f>HLOOKUP(AW$116+40,Kostengegevens!$AK$74:$BN$135,Stappen!$AA138,FALSE)</f>
        <v>3.5448040000022729</v>
      </c>
      <c r="AX138" s="35">
        <f>HLOOKUP(AX$116+40,Kostengegevens!$AK$74:$BN$135,Stappen!$AA138,FALSE)</f>
        <v>3.8968039999924713</v>
      </c>
      <c r="AY138" s="35">
        <f>HLOOKUP(AY$116+40,Kostengegevens!$AK$74:$BN$135,Stappen!$AA138,FALSE)</f>
        <v>3.8968039999924713</v>
      </c>
      <c r="AZ138" s="3"/>
      <c r="BA138" s="35">
        <f>HLOOKUP(BA$116+50,Kostengegevens!$AK$74:$BN$135,Stappen!$AA138,FALSE)</f>
        <v>0.16060249999770804</v>
      </c>
      <c r="BB138" s="35">
        <f>HLOOKUP(BB$116+50,Kostengegevens!$AK$74:$BN$135,Stappen!$AA138,FALSE)</f>
        <v>0.16060249999770804</v>
      </c>
      <c r="BC138" s="35">
        <f>HLOOKUP(BC$116+50,Kostengegevens!$AK$74:$BN$135,Stappen!$AA138,FALSE)</f>
        <v>0.28048250001063479</v>
      </c>
      <c r="BD138" s="35">
        <f>HLOOKUP(BD$116+50,Kostengegevens!$AK$74:$BN$135,Stappen!$AA138,FALSE)</f>
        <v>0.28048250001063479</v>
      </c>
      <c r="BE138" s="3"/>
      <c r="BG138" s="2">
        <v>6</v>
      </c>
      <c r="BH138" s="57">
        <v>23</v>
      </c>
      <c r="BI138" s="35">
        <f>BJ138/BJ$29*BI$29</f>
        <v>330.84112149532706</v>
      </c>
      <c r="BJ138" s="56">
        <f>HLOOKUP(BJ$116,$BL$116:$BP$178,BH138,FALSE)*VLOOKUP($BG138,$BH$24:$BJ$46,3,FALSE)</f>
        <v>330.84112149532706</v>
      </c>
      <c r="BK138" s="47" t="s">
        <v>22</v>
      </c>
      <c r="BL138" s="102">
        <f>1507/926</f>
        <v>1.6274298056155507</v>
      </c>
      <c r="BM138" s="102">
        <f>2832/1284</f>
        <v>2.2056074766355138</v>
      </c>
      <c r="BN138" s="102">
        <f>853/398</f>
        <v>2.1432160804020102</v>
      </c>
      <c r="BO138" s="102">
        <f>2167/1141</f>
        <v>1.8992112182296232</v>
      </c>
      <c r="BP138" s="102">
        <f>1507/926</f>
        <v>1.6274298056155507</v>
      </c>
      <c r="BQ138" s="3"/>
      <c r="BR138" s="2">
        <v>1</v>
      </c>
      <c r="BS138" s="2">
        <v>1</v>
      </c>
      <c r="BT138" s="2">
        <v>2</v>
      </c>
      <c r="BU138" s="2">
        <v>2</v>
      </c>
      <c r="CA138" s="503"/>
      <c r="CB138" s="502"/>
      <c r="CC138" s="426">
        <f t="shared" si="139"/>
        <v>0</v>
      </c>
      <c r="CD138" s="429">
        <f t="shared" si="140"/>
        <v>0</v>
      </c>
      <c r="CE138" s="459" t="s">
        <v>22</v>
      </c>
      <c r="CF138" s="460"/>
      <c r="CG138" s="503"/>
      <c r="CH138" s="502"/>
      <c r="CI138" s="426">
        <f t="shared" si="141"/>
        <v>0</v>
      </c>
      <c r="CJ138" s="429">
        <f t="shared" si="142"/>
        <v>0</v>
      </c>
      <c r="CK138" s="459" t="s">
        <v>22</v>
      </c>
      <c r="CL138" s="460"/>
      <c r="CM138" s="503"/>
      <c r="CN138" s="502"/>
      <c r="CO138" s="426">
        <f t="shared" si="143"/>
        <v>0</v>
      </c>
      <c r="CP138" s="429">
        <f t="shared" si="144"/>
        <v>0</v>
      </c>
      <c r="CQ138" s="459" t="s">
        <v>22</v>
      </c>
      <c r="CR138" s="460"/>
      <c r="CS138" s="503"/>
      <c r="CT138" s="502"/>
      <c r="CU138" s="426">
        <f t="shared" si="145"/>
        <v>0</v>
      </c>
      <c r="CV138" s="429">
        <f t="shared" si="146"/>
        <v>0</v>
      </c>
      <c r="CW138" s="459" t="s">
        <v>22</v>
      </c>
      <c r="CX138" s="460"/>
      <c r="CY138" s="503"/>
      <c r="CZ138" s="502"/>
      <c r="DA138" s="426"/>
      <c r="DB138" s="429"/>
      <c r="DC138" s="459"/>
      <c r="DD138" s="460"/>
    </row>
    <row r="139" spans="1:108" x14ac:dyDescent="0.2">
      <c r="A139" s="1" t="s">
        <v>168</v>
      </c>
      <c r="C139" s="211" t="s">
        <v>55</v>
      </c>
      <c r="D139" s="501"/>
      <c r="E139" s="502"/>
      <c r="F139" s="504"/>
      <c r="G139" s="505"/>
      <c r="H139" s="459"/>
      <c r="I139" s="460"/>
      <c r="J139" s="156"/>
      <c r="K139" s="9"/>
      <c r="L139" s="27"/>
      <c r="M139" s="12"/>
      <c r="N139" s="9"/>
      <c r="O139" s="27"/>
      <c r="P139" s="84"/>
      <c r="T139" s="91"/>
      <c r="U139" s="263"/>
      <c r="V139" s="263"/>
      <c r="W139" s="263"/>
      <c r="X139" s="263"/>
      <c r="Y139" s="263"/>
      <c r="AA139" s="35">
        <f t="shared" si="95"/>
        <v>24</v>
      </c>
      <c r="AB139" s="35">
        <f>HLOOKUP(AB$116,Kostengegevens!$AK$74:$BN$135,Stappen!$AA139,FALSE)</f>
        <v>0</v>
      </c>
      <c r="AC139" s="35">
        <f>HLOOKUP(AC$116,Kostengegevens!$AK$74:$BN$135,Stappen!$AA139,FALSE)</f>
        <v>0</v>
      </c>
      <c r="AD139" s="35">
        <f>HLOOKUP(AD$116,Kostengegevens!$AK$74:$BN$135,Stappen!$AA139,FALSE)</f>
        <v>0</v>
      </c>
      <c r="AE139" s="35">
        <f>HLOOKUP(AE$116,Kostengegevens!$AK$74:$BN$135,Stappen!$AA139,FALSE)</f>
        <v>0</v>
      </c>
      <c r="AF139" s="3"/>
      <c r="AG139" s="35">
        <f>HLOOKUP(AG$116+10,Kostengegevens!$AK$74:$BN$135,Stappen!$AA139,FALSE)</f>
        <v>0</v>
      </c>
      <c r="AH139" s="35">
        <f>HLOOKUP(AH$116+10,Kostengegevens!$AK$74:$BN$135,Stappen!$AA139,FALSE)</f>
        <v>0</v>
      </c>
      <c r="AI139" s="35">
        <f>HLOOKUP(AI$116+10,Kostengegevens!$AK$74:$BN$135,Stappen!$AA139,FALSE)</f>
        <v>0</v>
      </c>
      <c r="AJ139" s="35">
        <f>HLOOKUP(AJ$116+10,Kostengegevens!$AK$74:$BN$135,Stappen!$AA139,FALSE)</f>
        <v>0</v>
      </c>
      <c r="AK139" s="3"/>
      <c r="AL139" s="35">
        <f>HLOOKUP(AL$116+20,Kostengegevens!$AK$74:$BN$135,Stappen!$AA139,FALSE)</f>
        <v>0</v>
      </c>
      <c r="AM139" s="35">
        <f>HLOOKUP(AM$116+20,Kostengegevens!$AK$74:$BN$135,Stappen!$AA139,FALSE)</f>
        <v>0</v>
      </c>
      <c r="AN139" s="35">
        <f>HLOOKUP(AN$116+20,Kostengegevens!$AK$74:$BN$135,Stappen!$AA139,FALSE)</f>
        <v>0</v>
      </c>
      <c r="AO139" s="35">
        <f>HLOOKUP(AO$116+20,Kostengegevens!$AK$74:$BN$135,Stappen!$AA139,FALSE)</f>
        <v>0</v>
      </c>
      <c r="AP139" s="3"/>
      <c r="AQ139" s="35">
        <f>HLOOKUP(AQ$116+30,Kostengegevens!$AK$74:$BN$135,Stappen!$AA139,FALSE)</f>
        <v>0</v>
      </c>
      <c r="AR139" s="35">
        <f>HLOOKUP(AR$116+30,Kostengegevens!$AK$74:$BN$135,Stappen!$AA139,FALSE)</f>
        <v>0</v>
      </c>
      <c r="AS139" s="35">
        <f>HLOOKUP(AS$116+30,Kostengegevens!$AK$74:$BN$135,Stappen!$AA139,FALSE)</f>
        <v>0</v>
      </c>
      <c r="AT139" s="35">
        <f>HLOOKUP(AT$116+30,Kostengegevens!$AK$74:$BN$135,Stappen!$AA139,FALSE)</f>
        <v>0</v>
      </c>
      <c r="AU139" s="3"/>
      <c r="AV139" s="35">
        <f>HLOOKUP(AV$116+40,Kostengegevens!$AK$74:$BN$135,Stappen!$AA139,FALSE)</f>
        <v>0</v>
      </c>
      <c r="AW139" s="35">
        <f>HLOOKUP(AW$116+40,Kostengegevens!$AK$74:$BN$135,Stappen!$AA139,FALSE)</f>
        <v>0</v>
      </c>
      <c r="AX139" s="35">
        <f>HLOOKUP(AX$116+40,Kostengegevens!$AK$74:$BN$135,Stappen!$AA139,FALSE)</f>
        <v>0</v>
      </c>
      <c r="AY139" s="35">
        <f>HLOOKUP(AY$116+40,Kostengegevens!$AK$74:$BN$135,Stappen!$AA139,FALSE)</f>
        <v>0</v>
      </c>
      <c r="AZ139" s="3"/>
      <c r="BA139" s="35">
        <f>HLOOKUP(BA$116+50,Kostengegevens!$AK$74:$BN$135,Stappen!$AA139,FALSE)</f>
        <v>0</v>
      </c>
      <c r="BB139" s="35">
        <f>HLOOKUP(BB$116+50,Kostengegevens!$AK$74:$BN$135,Stappen!$AA139,FALSE)</f>
        <v>0</v>
      </c>
      <c r="BC139" s="35">
        <f>HLOOKUP(BC$116+50,Kostengegevens!$AK$74:$BN$135,Stappen!$AA139,FALSE)</f>
        <v>0</v>
      </c>
      <c r="BD139" s="35">
        <f>HLOOKUP(BD$116+50,Kostengegevens!$AK$74:$BN$135,Stappen!$AA139,FALSE)</f>
        <v>0</v>
      </c>
      <c r="BE139" s="3"/>
      <c r="BH139" s="57">
        <v>24</v>
      </c>
      <c r="BI139" s="53"/>
      <c r="BJ139" s="56"/>
      <c r="BK139" s="47"/>
      <c r="BL139" s="102"/>
      <c r="BM139" s="102"/>
      <c r="BN139" s="102"/>
      <c r="BO139" s="102"/>
      <c r="BP139" s="102"/>
      <c r="CA139" s="501"/>
      <c r="CB139" s="502"/>
      <c r="CC139" s="504"/>
      <c r="CD139" s="505"/>
      <c r="CE139" s="459"/>
      <c r="CF139" s="460"/>
      <c r="CG139" s="501"/>
      <c r="CH139" s="502"/>
      <c r="CI139" s="504"/>
      <c r="CJ139" s="505"/>
      <c r="CK139" s="459"/>
      <c r="CL139" s="460"/>
      <c r="CM139" s="501"/>
      <c r="CN139" s="502"/>
      <c r="CO139" s="504"/>
      <c r="CP139" s="505"/>
      <c r="CQ139" s="459"/>
      <c r="CR139" s="460"/>
      <c r="CS139" s="501"/>
      <c r="CT139" s="502"/>
      <c r="CU139" s="504"/>
      <c r="CV139" s="505"/>
      <c r="CW139" s="459"/>
      <c r="CX139" s="460"/>
      <c r="CY139" s="501"/>
      <c r="CZ139" s="502"/>
      <c r="DA139" s="504"/>
      <c r="DB139" s="505"/>
      <c r="DC139" s="459"/>
      <c r="DD139" s="460"/>
    </row>
    <row r="140" spans="1:108" x14ac:dyDescent="0.2">
      <c r="A140" s="49"/>
      <c r="B140" s="33">
        <v>23</v>
      </c>
      <c r="C140" s="212" t="s">
        <v>306</v>
      </c>
      <c r="D140" s="503"/>
      <c r="E140" s="502"/>
      <c r="F140" s="426">
        <f t="shared" ref="F140:F142" si="147">BI140</f>
        <v>14.018691588785046</v>
      </c>
      <c r="G140" s="429">
        <f t="shared" ref="G140:G142" si="148">BJ140</f>
        <v>14.018691588785046</v>
      </c>
      <c r="H140" s="459" t="s">
        <v>22</v>
      </c>
      <c r="I140" s="460"/>
      <c r="J140" s="156">
        <f>HLOOKUP($Z140,$AB$116:$AF$183,$AA140,FALSE)*$F140</f>
        <v>0</v>
      </c>
      <c r="K140" s="9">
        <f t="shared" si="90"/>
        <v>0</v>
      </c>
      <c r="L140" s="27">
        <f t="shared" si="91"/>
        <v>0</v>
      </c>
      <c r="M140" s="12">
        <f t="shared" si="92"/>
        <v>0</v>
      </c>
      <c r="N140" s="9">
        <f t="shared" si="93"/>
        <v>0</v>
      </c>
      <c r="O140" s="27">
        <f t="shared" si="94"/>
        <v>0</v>
      </c>
      <c r="T140" s="91" t="str">
        <f>CONCATENATE("ref: ",Referentieproject!T140)</f>
        <v>ref: 1 prefab-beton galerij / balkon</v>
      </c>
      <c r="U140" s="263" t="s">
        <v>105</v>
      </c>
      <c r="V140" s="263" t="s">
        <v>106</v>
      </c>
      <c r="W140" s="263" t="s">
        <v>83</v>
      </c>
      <c r="X140" s="263" t="s">
        <v>84</v>
      </c>
      <c r="Y140" s="263" t="s">
        <v>62</v>
      </c>
      <c r="Z140" s="2">
        <f>IF(D220=T140,Referentieproject!Z140,IF(D220=U140,1,IF(D220=V140,2,IF(D220=W140,3,IF(D220=X140,4,5)))))</f>
        <v>5</v>
      </c>
      <c r="AA140" s="35">
        <f t="shared" si="95"/>
        <v>25</v>
      </c>
      <c r="AB140" s="35">
        <f>HLOOKUP(AB$116,Kostengegevens!$AK$74:$BN$135,Stappen!$AA140,FALSE)</f>
        <v>285.01244172221368</v>
      </c>
      <c r="AC140" s="35">
        <f>HLOOKUP(AC$116,Kostengegevens!$AK$74:$BN$135,Stappen!$AA140,FALSE)</f>
        <v>0</v>
      </c>
      <c r="AD140" s="35">
        <f>HLOOKUP(AD$116,Kostengegevens!$AK$74:$BN$135,Stappen!$AA140,FALSE)</f>
        <v>0</v>
      </c>
      <c r="AE140" s="35">
        <f>HLOOKUP(AE$116,Kostengegevens!$AK$74:$BN$135,Stappen!$AA140,FALSE)</f>
        <v>0</v>
      </c>
      <c r="AF140" s="3"/>
      <c r="AG140" s="35">
        <f>HLOOKUP(AG$116+10,Kostengegevens!$AK$74:$BN$135,Stappen!$AA140,FALSE)</f>
        <v>57.340884444434778</v>
      </c>
      <c r="AH140" s="35">
        <f>HLOOKUP(AH$116+10,Kostengegevens!$AK$74:$BN$135,Stappen!$AA140,FALSE)</f>
        <v>0</v>
      </c>
      <c r="AI140" s="35">
        <f>HLOOKUP(AI$116+10,Kostengegevens!$AK$74:$BN$135,Stappen!$AA140,FALSE)</f>
        <v>0</v>
      </c>
      <c r="AJ140" s="35">
        <f>HLOOKUP(AJ$116+10,Kostengegevens!$AK$74:$BN$135,Stappen!$AA140,FALSE)</f>
        <v>0</v>
      </c>
      <c r="AK140" s="3"/>
      <c r="AL140" s="35">
        <f>HLOOKUP(AL$116+20,Kostengegevens!$AK$74:$BN$135,Stappen!$AA140,FALSE)</f>
        <v>184.91641172220488</v>
      </c>
      <c r="AM140" s="35">
        <f>HLOOKUP(AM$116+20,Kostengegevens!$AK$74:$BN$135,Stappen!$AA140,FALSE)</f>
        <v>0</v>
      </c>
      <c r="AN140" s="35">
        <f>HLOOKUP(AN$116+20,Kostengegevens!$AK$74:$BN$135,Stappen!$AA140,FALSE)</f>
        <v>0</v>
      </c>
      <c r="AO140" s="35">
        <f>HLOOKUP(AO$116+20,Kostengegevens!$AK$74:$BN$135,Stappen!$AA140,FALSE)</f>
        <v>0</v>
      </c>
      <c r="AP140" s="3"/>
      <c r="AQ140" s="35">
        <f>HLOOKUP(AQ$116+30,Kostengegevens!$AK$74:$BN$135,Stappen!$AA140,FALSE)</f>
        <v>1737.9806702779606</v>
      </c>
      <c r="AR140" s="35">
        <f>HLOOKUP(AR$116+30,Kostengegevens!$AK$74:$BN$135,Stappen!$AA140,FALSE)</f>
        <v>0</v>
      </c>
      <c r="AS140" s="35">
        <f>HLOOKUP(AS$116+30,Kostengegevens!$AK$74:$BN$135,Stappen!$AA140,FALSE)</f>
        <v>0</v>
      </c>
      <c r="AT140" s="35">
        <f>HLOOKUP(AT$116+30,Kostengegevens!$AK$74:$BN$135,Stappen!$AA140,FALSE)</f>
        <v>0</v>
      </c>
      <c r="AU140" s="3"/>
      <c r="AV140" s="35">
        <f>HLOOKUP(AV$116+40,Kostengegevens!$AK$74:$BN$135,Stappen!$AA140,FALSE)</f>
        <v>33.934647555553966</v>
      </c>
      <c r="AW140" s="35">
        <f>HLOOKUP(AW$116+40,Kostengegevens!$AK$74:$BN$135,Stappen!$AA140,FALSE)</f>
        <v>0</v>
      </c>
      <c r="AX140" s="35">
        <f>HLOOKUP(AX$116+40,Kostengegevens!$AK$74:$BN$135,Stappen!$AA140,FALSE)</f>
        <v>0</v>
      </c>
      <c r="AY140" s="35">
        <f>HLOOKUP(AY$116+40,Kostengegevens!$AK$74:$BN$135,Stappen!$AA140,FALSE)</f>
        <v>0</v>
      </c>
      <c r="AZ140" s="3"/>
      <c r="BA140" s="35">
        <f>HLOOKUP(BA$116+50,Kostengegevens!$AK$74:$BN$135,Stappen!$AA140,FALSE)</f>
        <v>39.002326911114835</v>
      </c>
      <c r="BB140" s="35">
        <f>HLOOKUP(BB$116+50,Kostengegevens!$AK$74:$BN$135,Stappen!$AA140,FALSE)</f>
        <v>0</v>
      </c>
      <c r="BC140" s="35">
        <f>HLOOKUP(BC$116+50,Kostengegevens!$AK$74:$BN$135,Stappen!$AA140,FALSE)</f>
        <v>0</v>
      </c>
      <c r="BD140" s="35">
        <f>HLOOKUP(BD$116+50,Kostengegevens!$AK$74:$BN$135,Stappen!$AA140,FALSE)</f>
        <v>0</v>
      </c>
      <c r="BE140" s="3"/>
      <c r="BG140" s="2">
        <v>7</v>
      </c>
      <c r="BH140" s="57">
        <v>25</v>
      </c>
      <c r="BI140" s="35">
        <f>BJ140/BJ$30*BI$30</f>
        <v>14.018691588785046</v>
      </c>
      <c r="BJ140" s="56">
        <f>HLOOKUP(BJ$116,$BL$116:$BP$178,BH140,FALSE)*VLOOKUP($BG140,$BH$24:$BJ$46,3,FALSE)</f>
        <v>14.018691588785046</v>
      </c>
      <c r="BK140" s="47" t="s">
        <v>22</v>
      </c>
      <c r="BL140" s="102">
        <f>0/926</f>
        <v>0</v>
      </c>
      <c r="BM140" s="102">
        <f>120/1284</f>
        <v>9.3457943925233641E-2</v>
      </c>
      <c r="BN140" s="102">
        <f>0/398</f>
        <v>0</v>
      </c>
      <c r="BO140" s="102">
        <f>0/926</f>
        <v>0</v>
      </c>
      <c r="BP140" s="102">
        <f>0/926</f>
        <v>0</v>
      </c>
      <c r="BR140" s="2">
        <v>5</v>
      </c>
      <c r="BS140" s="2">
        <v>1</v>
      </c>
      <c r="BT140" s="2">
        <v>5</v>
      </c>
      <c r="BU140" s="2">
        <v>5</v>
      </c>
      <c r="CA140" s="503"/>
      <c r="CB140" s="502"/>
      <c r="CC140" s="426">
        <f t="shared" ref="CC140:CC142" si="149">EF140</f>
        <v>0</v>
      </c>
      <c r="CD140" s="429">
        <f t="shared" ref="CD140:CD142" si="150">EG140</f>
        <v>0</v>
      </c>
      <c r="CE140" s="459" t="s">
        <v>22</v>
      </c>
      <c r="CF140" s="460"/>
      <c r="CG140" s="503"/>
      <c r="CH140" s="502"/>
      <c r="CI140" s="426">
        <f t="shared" ref="CI140:CI142" si="151">EL140</f>
        <v>0</v>
      </c>
      <c r="CJ140" s="429">
        <f t="shared" ref="CJ140:CJ142" si="152">EM140</f>
        <v>0</v>
      </c>
      <c r="CK140" s="459" t="s">
        <v>22</v>
      </c>
      <c r="CL140" s="460"/>
      <c r="CM140" s="503"/>
      <c r="CN140" s="502"/>
      <c r="CO140" s="426">
        <f t="shared" ref="CO140:CO142" si="153">ER140</f>
        <v>0</v>
      </c>
      <c r="CP140" s="429">
        <f t="shared" ref="CP140:CP142" si="154">ES140</f>
        <v>0</v>
      </c>
      <c r="CQ140" s="459" t="s">
        <v>22</v>
      </c>
      <c r="CR140" s="460"/>
      <c r="CS140" s="503"/>
      <c r="CT140" s="502"/>
      <c r="CU140" s="426">
        <f t="shared" ref="CU140:CU142" si="155">EX140</f>
        <v>0</v>
      </c>
      <c r="CV140" s="429">
        <f t="shared" ref="CV140:CV142" si="156">EY140</f>
        <v>0</v>
      </c>
      <c r="CW140" s="459" t="s">
        <v>22</v>
      </c>
      <c r="CX140" s="460"/>
      <c r="CY140" s="503"/>
      <c r="CZ140" s="502"/>
      <c r="DA140" s="426"/>
      <c r="DB140" s="429"/>
      <c r="DC140" s="459"/>
      <c r="DD140" s="460"/>
    </row>
    <row r="141" spans="1:108" x14ac:dyDescent="0.2">
      <c r="A141" s="49"/>
      <c r="B141" s="33">
        <v>33</v>
      </c>
      <c r="C141" s="212" t="s">
        <v>307</v>
      </c>
      <c r="D141" s="503"/>
      <c r="E141" s="502"/>
      <c r="F141" s="426">
        <f t="shared" si="147"/>
        <v>4.2056074766355138</v>
      </c>
      <c r="G141" s="429">
        <f t="shared" si="148"/>
        <v>4.2056074766355138</v>
      </c>
      <c r="H141" s="459" t="s">
        <v>22</v>
      </c>
      <c r="I141" s="460"/>
      <c r="J141" s="156">
        <f>HLOOKUP($Z141,$AB$116:$AF$183,$AA141,FALSE)*$F141</f>
        <v>92.652336448685602</v>
      </c>
      <c r="K141" s="9">
        <f t="shared" si="90"/>
        <v>36.977803738239423</v>
      </c>
      <c r="L141" s="27">
        <f t="shared" si="91"/>
        <v>64.888317757025007</v>
      </c>
      <c r="M141" s="12">
        <f t="shared" si="92"/>
        <v>331.5876168220592</v>
      </c>
      <c r="N141" s="9">
        <f t="shared" si="93"/>
        <v>48.78785046726361</v>
      </c>
      <c r="O141" s="27">
        <f t="shared" si="94"/>
        <v>2.2587616822250385</v>
      </c>
      <c r="T141" s="91" t="str">
        <f>CONCATENATE("ref: ",Referentieproject!T141)</f>
        <v>ref: 2 randafwerking vide (woningbouw)</v>
      </c>
      <c r="U141" s="263" t="s">
        <v>107</v>
      </c>
      <c r="V141" s="263" t="s">
        <v>108</v>
      </c>
      <c r="W141" s="263" t="s">
        <v>109</v>
      </c>
      <c r="X141" s="263" t="s">
        <v>110</v>
      </c>
      <c r="Y141" s="263" t="s">
        <v>62</v>
      </c>
      <c r="Z141" s="2">
        <f>IF(D221=T141,Referentieproject!Z141,IF(D221=U141,1,IF(D221=V141,2,IF(D221=W141,3,IF(D221=X141,4,5)))))</f>
        <v>2</v>
      </c>
      <c r="AA141" s="35">
        <f t="shared" si="95"/>
        <v>26</v>
      </c>
      <c r="AB141" s="35">
        <f>HLOOKUP(AB$116,Kostengegevens!$AK$74:$BN$135,Stappen!$AA141,FALSE)</f>
        <v>301.38333333355467</v>
      </c>
      <c r="AC141" s="35">
        <f>HLOOKUP(AC$116,Kostengegevens!$AK$74:$BN$135,Stappen!$AA141,FALSE)</f>
        <v>22.030666666687466</v>
      </c>
      <c r="AD141" s="35">
        <f>HLOOKUP(AD$116,Kostengegevens!$AK$74:$BN$135,Stappen!$AA141,FALSE)</f>
        <v>165.52875999989919</v>
      </c>
      <c r="AE141" s="35">
        <f>HLOOKUP(AE$116,Kostengegevens!$AK$74:$BN$135,Stappen!$AA141,FALSE)</f>
        <v>165.52875999989942</v>
      </c>
      <c r="AF141" s="3"/>
      <c r="AG141" s="35">
        <f>HLOOKUP(AG$116+10,Kostengegevens!$AK$74:$BN$135,Stappen!$AA141,FALSE)</f>
        <v>109.88541666665697</v>
      </c>
      <c r="AH141" s="35">
        <f>HLOOKUP(AH$116+10,Kostengegevens!$AK$74:$BN$135,Stappen!$AA141,FALSE)</f>
        <v>8.7924999999813735</v>
      </c>
      <c r="AI141" s="35">
        <f>HLOOKUP(AI$116+10,Kostengegevens!$AK$74:$BN$135,Stappen!$AA141,FALSE)</f>
        <v>53.243550000013784</v>
      </c>
      <c r="AJ141" s="35">
        <f>HLOOKUP(AJ$116+10,Kostengegevens!$AK$74:$BN$135,Stappen!$AA141,FALSE)</f>
        <v>53.243550000013784</v>
      </c>
      <c r="AK141" s="3"/>
      <c r="AL141" s="35">
        <f>HLOOKUP(AL$116+20,Kostengegevens!$AK$74:$BN$135,Stappen!$AA141,FALSE)</f>
        <v>185.98749999946449</v>
      </c>
      <c r="AM141" s="35">
        <f>HLOOKUP(AM$116+20,Kostengegevens!$AK$74:$BN$135,Stappen!$AA141,FALSE)</f>
        <v>15.429000000003725</v>
      </c>
      <c r="AN141" s="35">
        <f>HLOOKUP(AN$116+20,Kostengegevens!$AK$74:$BN$135,Stappen!$AA141,FALSE)</f>
        <v>118.51576000009686</v>
      </c>
      <c r="AO141" s="35">
        <f>HLOOKUP(AO$116+20,Kostengegevens!$AK$74:$BN$135,Stappen!$AA141,FALSE)</f>
        <v>118.51576000009663</v>
      </c>
      <c r="AP141" s="3"/>
      <c r="AQ141" s="35">
        <f>HLOOKUP(AQ$116+30,Kostengegevens!$AK$74:$BN$135,Stappen!$AA141,FALSE)</f>
        <v>1668.8645833404735</v>
      </c>
      <c r="AR141" s="35">
        <f>HLOOKUP(AR$116+30,Kostengegevens!$AK$74:$BN$135,Stappen!$AA141,FALSE)</f>
        <v>78.844166666578531</v>
      </c>
      <c r="AS141" s="35">
        <f>HLOOKUP(AS$116+30,Kostengegevens!$AK$74:$BN$135,Stappen!$AA141,FALSE)</f>
        <v>534.93154999986291</v>
      </c>
      <c r="AT141" s="35">
        <f>HLOOKUP(AT$116+30,Kostengegevens!$AK$74:$BN$135,Stappen!$AA141,FALSE)</f>
        <v>534.93154999986291</v>
      </c>
      <c r="AU141" s="3"/>
      <c r="AV141" s="35">
        <f>HLOOKUP(AV$116+40,Kostengegevens!$AK$74:$BN$135,Stappen!$AA141,FALSE)</f>
        <v>112.59166666665499</v>
      </c>
      <c r="AW141" s="35">
        <f>HLOOKUP(AW$116+40,Kostengegevens!$AK$74:$BN$135,Stappen!$AA141,FALSE)</f>
        <v>11.600666666660459</v>
      </c>
      <c r="AX141" s="35">
        <f>HLOOKUP(AX$116+40,Kostengegevens!$AK$74:$BN$135,Stappen!$AA141,FALSE)</f>
        <v>91.199759999988601</v>
      </c>
      <c r="AY141" s="35">
        <f>HLOOKUP(AY$116+40,Kostengegevens!$AK$74:$BN$135,Stappen!$AA141,FALSE)</f>
        <v>91.199759999988601</v>
      </c>
      <c r="AZ141" s="3"/>
      <c r="BA141" s="35">
        <f>HLOOKUP(BA$116+50,Kostengegevens!$AK$74:$BN$135,Stappen!$AA141,FALSE)</f>
        <v>77.354583333241521</v>
      </c>
      <c r="BB141" s="35">
        <f>HLOOKUP(BB$116+50,Kostengegevens!$AK$74:$BN$135,Stappen!$AA141,FALSE)</f>
        <v>0.53708333332906477</v>
      </c>
      <c r="BC141" s="35">
        <f>HLOOKUP(BC$116+50,Kostengegevens!$AK$74:$BN$135,Stappen!$AA141,FALSE)</f>
        <v>2.9544999999925494</v>
      </c>
      <c r="BD141" s="35">
        <f>HLOOKUP(BD$116+50,Kostengegevens!$AK$74:$BN$135,Stappen!$AA141,FALSE)</f>
        <v>2.9544999999925494</v>
      </c>
      <c r="BE141" s="3"/>
      <c r="BG141" s="2">
        <v>7</v>
      </c>
      <c r="BH141" s="57">
        <v>26</v>
      </c>
      <c r="BI141" s="35">
        <f>BJ141/BJ$30*BI$30</f>
        <v>4.2056074766355138</v>
      </c>
      <c r="BJ141" s="56">
        <f>HLOOKUP(BJ$116,$BL$116:$BP$178,BH141,FALSE)*VLOOKUP($BG141,$BH$24:$BJ$46,3,FALSE)</f>
        <v>4.2056074766355138</v>
      </c>
      <c r="BK141" s="47" t="s">
        <v>22</v>
      </c>
      <c r="BL141" s="102">
        <f>36/926</f>
        <v>3.8876889848812095E-2</v>
      </c>
      <c r="BM141" s="102">
        <f>36/1284</f>
        <v>2.8037383177570093E-2</v>
      </c>
      <c r="BN141" s="102">
        <f>34/398</f>
        <v>8.5427135678391955E-2</v>
      </c>
      <c r="BO141" s="102">
        <f>25/1141</f>
        <v>2.1910604732690624E-2</v>
      </c>
      <c r="BP141" s="102">
        <f>36/926</f>
        <v>3.8876889848812095E-2</v>
      </c>
      <c r="BR141" s="2">
        <v>2</v>
      </c>
      <c r="BS141" s="2">
        <v>2</v>
      </c>
      <c r="BT141" s="2">
        <v>3</v>
      </c>
      <c r="BU141" s="2">
        <v>3</v>
      </c>
      <c r="CA141" s="503"/>
      <c r="CB141" s="502"/>
      <c r="CC141" s="426">
        <f t="shared" si="149"/>
        <v>0</v>
      </c>
      <c r="CD141" s="429">
        <f t="shared" si="150"/>
        <v>0</v>
      </c>
      <c r="CE141" s="459" t="s">
        <v>22</v>
      </c>
      <c r="CF141" s="460"/>
      <c r="CG141" s="503"/>
      <c r="CH141" s="502"/>
      <c r="CI141" s="426">
        <f t="shared" si="151"/>
        <v>0</v>
      </c>
      <c r="CJ141" s="429">
        <f t="shared" si="152"/>
        <v>0</v>
      </c>
      <c r="CK141" s="459" t="s">
        <v>22</v>
      </c>
      <c r="CL141" s="460"/>
      <c r="CM141" s="503"/>
      <c r="CN141" s="502"/>
      <c r="CO141" s="426">
        <f t="shared" si="153"/>
        <v>0</v>
      </c>
      <c r="CP141" s="429">
        <f t="shared" si="154"/>
        <v>0</v>
      </c>
      <c r="CQ141" s="459" t="s">
        <v>22</v>
      </c>
      <c r="CR141" s="460"/>
      <c r="CS141" s="503"/>
      <c r="CT141" s="502"/>
      <c r="CU141" s="426">
        <f t="shared" si="155"/>
        <v>0</v>
      </c>
      <c r="CV141" s="429">
        <f t="shared" si="156"/>
        <v>0</v>
      </c>
      <c r="CW141" s="459" t="s">
        <v>22</v>
      </c>
      <c r="CX141" s="460"/>
      <c r="CY141" s="503"/>
      <c r="CZ141" s="502"/>
      <c r="DA141" s="426"/>
      <c r="DB141" s="429"/>
      <c r="DC141" s="459"/>
      <c r="DD141" s="460"/>
    </row>
    <row r="142" spans="1:108" x14ac:dyDescent="0.2">
      <c r="A142" s="49"/>
      <c r="B142" s="33">
        <v>43</v>
      </c>
      <c r="C142" s="212" t="s">
        <v>308</v>
      </c>
      <c r="D142" s="503"/>
      <c r="E142" s="502"/>
      <c r="F142" s="426">
        <f t="shared" si="147"/>
        <v>148.5981308411215</v>
      </c>
      <c r="G142" s="429">
        <f t="shared" si="148"/>
        <v>148.5981308411215</v>
      </c>
      <c r="H142" s="459" t="s">
        <v>22</v>
      </c>
      <c r="I142" s="460"/>
      <c r="J142" s="156">
        <f>HLOOKUP($Z142,$AB$116:$AF$183,$AA142,FALSE)*$F142</f>
        <v>2861.9494766286466</v>
      </c>
      <c r="K142" s="9">
        <f t="shared" si="90"/>
        <v>392.38822429741924</v>
      </c>
      <c r="L142" s="27">
        <f t="shared" si="91"/>
        <v>1563.3206916044899</v>
      </c>
      <c r="M142" s="12">
        <f t="shared" si="92"/>
        <v>18548.434766506227</v>
      </c>
      <c r="N142" s="9">
        <f t="shared" si="93"/>
        <v>501.00751401832662</v>
      </c>
      <c r="O142" s="27">
        <f t="shared" si="94"/>
        <v>133.82747663481251</v>
      </c>
      <c r="T142" s="91" t="str">
        <f>CONCATENATE("ref: ",Referentieproject!T142)</f>
        <v>ref: 1 woningbouw: cem.dekvloer, tegels</v>
      </c>
      <c r="U142" s="263" t="s">
        <v>339</v>
      </c>
      <c r="V142" s="263" t="s">
        <v>357</v>
      </c>
      <c r="W142" s="263" t="s">
        <v>358</v>
      </c>
      <c r="X142" s="263" t="s">
        <v>116</v>
      </c>
      <c r="Y142" s="263" t="s">
        <v>62</v>
      </c>
      <c r="Z142" s="2">
        <f>IF(D222=T142,Referentieproject!Z142,IF(D222=U142,1,IF(D222=V142,2,IF(D222=W142,3,IF(D222=X142,4,5)))))</f>
        <v>1</v>
      </c>
      <c r="AA142" s="35">
        <f t="shared" si="95"/>
        <v>27</v>
      </c>
      <c r="AB142" s="35">
        <f>HLOOKUP(AB$116,Kostengegevens!$AK$74:$BN$135,Stappen!$AA142,FALSE)</f>
        <v>19.259659999953783</v>
      </c>
      <c r="AC142" s="35">
        <f>HLOOKUP(AC$116,Kostengegevens!$AK$74:$BN$135,Stappen!$AA142,FALSE)</f>
        <v>17.861659999971835</v>
      </c>
      <c r="AD142" s="35">
        <f>HLOOKUP(AD$116,Kostengegevens!$AK$74:$BN$135,Stappen!$AA142,FALSE)</f>
        <v>56.377299999978732</v>
      </c>
      <c r="AE142" s="35">
        <f>HLOOKUP(AE$116,Kostengegevens!$AK$74:$BN$135,Stappen!$AA142,FALSE)</f>
        <v>48.571859999976823</v>
      </c>
      <c r="AF142" s="3"/>
      <c r="AG142" s="35">
        <f>HLOOKUP(AG$116+10,Kostengegevens!$AK$74:$BN$135,Stappen!$AA142,FALSE)</f>
        <v>2.6405999999889218</v>
      </c>
      <c r="AH142" s="35">
        <f>HLOOKUP(AH$116+10,Kostengegevens!$AK$74:$BN$135,Stappen!$AA142,FALSE)</f>
        <v>2.570849999990287</v>
      </c>
      <c r="AI142" s="35">
        <f>HLOOKUP(AI$116+10,Kostengegevens!$AK$74:$BN$135,Stappen!$AA142,FALSE)</f>
        <v>12.098299999993742</v>
      </c>
      <c r="AJ142" s="35">
        <f>HLOOKUP(AJ$116+10,Kostengegevens!$AK$74:$BN$135,Stappen!$AA142,FALSE)</f>
        <v>10.130749999971499</v>
      </c>
      <c r="AK142" s="3"/>
      <c r="AL142" s="35">
        <f>HLOOKUP(AL$116+20,Kostengegevens!$AK$74:$BN$135,Stappen!$AA142,FALSE)</f>
        <v>10.520460000105686</v>
      </c>
      <c r="AM142" s="35">
        <f>HLOOKUP(AM$116+20,Kostengegevens!$AK$74:$BN$135,Stappen!$AA142,FALSE)</f>
        <v>9.9612600000878047</v>
      </c>
      <c r="AN142" s="35">
        <f>HLOOKUP(AN$116+20,Kostengegevens!$AK$74:$BN$135,Stappen!$AA142,FALSE)</f>
        <v>40.972400000046036</v>
      </c>
      <c r="AO142" s="35">
        <f>HLOOKUP(AO$116+20,Kostengegevens!$AK$74:$BN$135,Stappen!$AA142,FALSE)</f>
        <v>34.352959999910126</v>
      </c>
      <c r="AP142" s="3"/>
      <c r="AQ142" s="35">
        <f>HLOOKUP(AQ$116+30,Kostengegevens!$AK$74:$BN$135,Stappen!$AA142,FALSE)</f>
        <v>124.82280000101673</v>
      </c>
      <c r="AR142" s="35">
        <f>HLOOKUP(AR$116+30,Kostengegevens!$AK$74:$BN$135,Stappen!$AA142,FALSE)</f>
        <v>124.75305000092703</v>
      </c>
      <c r="AS142" s="35">
        <f>HLOOKUP(AS$116+30,Kostengegevens!$AK$74:$BN$135,Stappen!$AA142,FALSE)</f>
        <v>639.92180000174994</v>
      </c>
      <c r="AT142" s="35">
        <f>HLOOKUP(AT$116+30,Kostengegevens!$AK$74:$BN$135,Stappen!$AA142,FALSE)</f>
        <v>531.38185000065641</v>
      </c>
      <c r="AU142" s="3"/>
      <c r="AV142" s="35">
        <f>HLOOKUP(AV$116+40,Kostengegevens!$AK$74:$BN$135,Stappen!$AA142,FALSE)</f>
        <v>3.3715599999975439</v>
      </c>
      <c r="AW142" s="35">
        <f>HLOOKUP(AW$116+40,Kostengegevens!$AK$74:$BN$135,Stappen!$AA142,FALSE)</f>
        <v>2.8123600000005808</v>
      </c>
      <c r="AX142" s="35">
        <f>HLOOKUP(AX$116+40,Kostengegevens!$AK$74:$BN$135,Stappen!$AA142,FALSE)</f>
        <v>6.1256999999957316</v>
      </c>
      <c r="AY142" s="35">
        <f>HLOOKUP(AY$116+40,Kostengegevens!$AK$74:$BN$135,Stappen!$AA142,FALSE)</f>
        <v>5.327460000011115</v>
      </c>
      <c r="AZ142" s="3"/>
      <c r="BA142" s="35">
        <f>HLOOKUP(BA$116+50,Kostengegevens!$AK$74:$BN$135,Stappen!$AA142,FALSE)</f>
        <v>0.90059999999527918</v>
      </c>
      <c r="BB142" s="35">
        <f>HLOOKUP(BB$116+50,Kostengegevens!$AK$74:$BN$135,Stappen!$AA142,FALSE)</f>
        <v>0.90059999999880347</v>
      </c>
      <c r="BC142" s="35">
        <f>HLOOKUP(BC$116+50,Kostengegevens!$AK$74:$BN$135,Stappen!$AA142,FALSE)</f>
        <v>11.867954999980896</v>
      </c>
      <c r="BD142" s="35">
        <f>HLOOKUP(BD$116+50,Kostengegevens!$AK$74:$BN$135,Stappen!$AA142,FALSE)</f>
        <v>9.5018989999854284</v>
      </c>
      <c r="BE142" s="3"/>
      <c r="BG142" s="2">
        <v>7</v>
      </c>
      <c r="BH142" s="57">
        <v>27</v>
      </c>
      <c r="BI142" s="35">
        <f>BJ142/BJ$30*BI$30</f>
        <v>148.5981308411215</v>
      </c>
      <c r="BJ142" s="56">
        <f>HLOOKUP(BJ$116,$BL$116:$BP$178,BH142,FALSE)*VLOOKUP($BG142,$BH$24:$BJ$46,3,FALSE)</f>
        <v>148.5981308411215</v>
      </c>
      <c r="BK142" s="47" t="s">
        <v>22</v>
      </c>
      <c r="BL142" s="102">
        <f>834/926</f>
        <v>0.90064794816414684</v>
      </c>
      <c r="BM142" s="102">
        <f>1272/1284</f>
        <v>0.99065420560747663</v>
      </c>
      <c r="BN142" s="102">
        <f>361/398</f>
        <v>0.90703517587939697</v>
      </c>
      <c r="BO142" s="102">
        <f>1025/1141</f>
        <v>0.89833479404031547</v>
      </c>
      <c r="BP142" s="102">
        <f>834/926</f>
        <v>0.90064794816414684</v>
      </c>
      <c r="BR142" s="2">
        <v>1</v>
      </c>
      <c r="BS142" s="2">
        <v>1</v>
      </c>
      <c r="BT142" s="2">
        <v>2</v>
      </c>
      <c r="BU142" s="2">
        <v>2</v>
      </c>
      <c r="CA142" s="503"/>
      <c r="CB142" s="502"/>
      <c r="CC142" s="426">
        <f t="shared" si="149"/>
        <v>0</v>
      </c>
      <c r="CD142" s="429">
        <f t="shared" si="150"/>
        <v>0</v>
      </c>
      <c r="CE142" s="459" t="s">
        <v>22</v>
      </c>
      <c r="CF142" s="460"/>
      <c r="CG142" s="503"/>
      <c r="CH142" s="502"/>
      <c r="CI142" s="426">
        <f t="shared" si="151"/>
        <v>0</v>
      </c>
      <c r="CJ142" s="429">
        <f t="shared" si="152"/>
        <v>0</v>
      </c>
      <c r="CK142" s="459" t="s">
        <v>22</v>
      </c>
      <c r="CL142" s="460"/>
      <c r="CM142" s="503"/>
      <c r="CN142" s="502"/>
      <c r="CO142" s="426">
        <f t="shared" si="153"/>
        <v>0</v>
      </c>
      <c r="CP142" s="429">
        <f t="shared" si="154"/>
        <v>0</v>
      </c>
      <c r="CQ142" s="459" t="s">
        <v>22</v>
      </c>
      <c r="CR142" s="460"/>
      <c r="CS142" s="503"/>
      <c r="CT142" s="502"/>
      <c r="CU142" s="426">
        <f t="shared" si="155"/>
        <v>0</v>
      </c>
      <c r="CV142" s="429">
        <f t="shared" si="156"/>
        <v>0</v>
      </c>
      <c r="CW142" s="459" t="s">
        <v>22</v>
      </c>
      <c r="CX142" s="460"/>
      <c r="CY142" s="503"/>
      <c r="CZ142" s="502"/>
      <c r="DA142" s="426"/>
      <c r="DB142" s="429"/>
      <c r="DC142" s="459"/>
      <c r="DD142" s="460"/>
    </row>
    <row r="143" spans="1:108" x14ac:dyDescent="0.2">
      <c r="A143" s="1" t="s">
        <v>169</v>
      </c>
      <c r="C143" s="211" t="s">
        <v>238</v>
      </c>
      <c r="D143" s="501"/>
      <c r="E143" s="502"/>
      <c r="F143" s="504"/>
      <c r="G143" s="505"/>
      <c r="H143" s="459"/>
      <c r="I143" s="460"/>
      <c r="J143" s="156"/>
      <c r="K143" s="9"/>
      <c r="L143" s="27"/>
      <c r="M143" s="12"/>
      <c r="N143" s="9"/>
      <c r="O143" s="27"/>
      <c r="P143" s="84"/>
      <c r="T143" s="91"/>
      <c r="U143" s="263"/>
      <c r="V143" s="263"/>
      <c r="W143" s="263"/>
      <c r="X143" s="263"/>
      <c r="Y143" s="263"/>
      <c r="AA143" s="35">
        <f t="shared" si="95"/>
        <v>28</v>
      </c>
      <c r="AB143" s="35">
        <f>HLOOKUP(AB$116,Kostengegevens!$AK$74:$BN$135,Stappen!$AA143,FALSE)</f>
        <v>0</v>
      </c>
      <c r="AC143" s="35">
        <f>HLOOKUP(AC$116,Kostengegevens!$AK$74:$BN$135,Stappen!$AA143,FALSE)</f>
        <v>0</v>
      </c>
      <c r="AD143" s="35">
        <f>HLOOKUP(AD$116,Kostengegevens!$AK$74:$BN$135,Stappen!$AA143,FALSE)</f>
        <v>0</v>
      </c>
      <c r="AE143" s="35">
        <f>HLOOKUP(AE$116,Kostengegevens!$AK$74:$BN$135,Stappen!$AA143,FALSE)</f>
        <v>0</v>
      </c>
      <c r="AF143" s="3"/>
      <c r="AG143" s="35">
        <f>HLOOKUP(AG$116+10,Kostengegevens!$AK$74:$BN$135,Stappen!$AA143,FALSE)</f>
        <v>0</v>
      </c>
      <c r="AH143" s="35">
        <f>HLOOKUP(AH$116+10,Kostengegevens!$AK$74:$BN$135,Stappen!$AA143,FALSE)</f>
        <v>0</v>
      </c>
      <c r="AI143" s="35">
        <f>HLOOKUP(AI$116+10,Kostengegevens!$AK$74:$BN$135,Stappen!$AA143,FALSE)</f>
        <v>0</v>
      </c>
      <c r="AJ143" s="35">
        <f>HLOOKUP(AJ$116+10,Kostengegevens!$AK$74:$BN$135,Stappen!$AA143,FALSE)</f>
        <v>0</v>
      </c>
      <c r="AK143" s="3"/>
      <c r="AL143" s="35">
        <f>HLOOKUP(AL$116+20,Kostengegevens!$AK$74:$BN$135,Stappen!$AA143,FALSE)</f>
        <v>0</v>
      </c>
      <c r="AM143" s="35">
        <f>HLOOKUP(AM$116+20,Kostengegevens!$AK$74:$BN$135,Stappen!$AA143,FALSE)</f>
        <v>0</v>
      </c>
      <c r="AN143" s="35">
        <f>HLOOKUP(AN$116+20,Kostengegevens!$AK$74:$BN$135,Stappen!$AA143,FALSE)</f>
        <v>0</v>
      </c>
      <c r="AO143" s="35">
        <f>HLOOKUP(AO$116+20,Kostengegevens!$AK$74:$BN$135,Stappen!$AA143,FALSE)</f>
        <v>0</v>
      </c>
      <c r="AP143" s="3"/>
      <c r="AQ143" s="35">
        <f>HLOOKUP(AQ$116+30,Kostengegevens!$AK$74:$BN$135,Stappen!$AA143,FALSE)</f>
        <v>0</v>
      </c>
      <c r="AR143" s="35">
        <f>HLOOKUP(AR$116+30,Kostengegevens!$AK$74:$BN$135,Stappen!$AA143,FALSE)</f>
        <v>0</v>
      </c>
      <c r="AS143" s="35">
        <f>HLOOKUP(AS$116+30,Kostengegevens!$AK$74:$BN$135,Stappen!$AA143,FALSE)</f>
        <v>0</v>
      </c>
      <c r="AT143" s="35">
        <f>HLOOKUP(AT$116+30,Kostengegevens!$AK$74:$BN$135,Stappen!$AA143,FALSE)</f>
        <v>0</v>
      </c>
      <c r="AU143" s="3"/>
      <c r="AV143" s="35">
        <f>HLOOKUP(AV$116+40,Kostengegevens!$AK$74:$BN$135,Stappen!$AA143,FALSE)</f>
        <v>0</v>
      </c>
      <c r="AW143" s="35">
        <f>HLOOKUP(AW$116+40,Kostengegevens!$AK$74:$BN$135,Stappen!$AA143,FALSE)</f>
        <v>0</v>
      </c>
      <c r="AX143" s="35">
        <f>HLOOKUP(AX$116+40,Kostengegevens!$AK$74:$BN$135,Stappen!$AA143,FALSE)</f>
        <v>0</v>
      </c>
      <c r="AY143" s="35">
        <f>HLOOKUP(AY$116+40,Kostengegevens!$AK$74:$BN$135,Stappen!$AA143,FALSE)</f>
        <v>0</v>
      </c>
      <c r="AZ143" s="3"/>
      <c r="BA143" s="35">
        <f>HLOOKUP(BA$116+50,Kostengegevens!$AK$74:$BN$135,Stappen!$AA143,FALSE)</f>
        <v>0</v>
      </c>
      <c r="BB143" s="35">
        <f>HLOOKUP(BB$116+50,Kostengegevens!$AK$74:$BN$135,Stappen!$AA143,FALSE)</f>
        <v>0</v>
      </c>
      <c r="BC143" s="35">
        <f>HLOOKUP(BC$116+50,Kostengegevens!$AK$74:$BN$135,Stappen!$AA143,FALSE)</f>
        <v>0</v>
      </c>
      <c r="BD143" s="35">
        <f>HLOOKUP(BD$116+50,Kostengegevens!$AK$74:$BN$135,Stappen!$AA143,FALSE)</f>
        <v>0</v>
      </c>
      <c r="BE143" s="3"/>
      <c r="BH143" s="57">
        <v>28</v>
      </c>
      <c r="BI143" s="53"/>
      <c r="BJ143" s="56"/>
      <c r="BK143" s="47"/>
      <c r="BL143" s="102"/>
      <c r="BM143" s="102"/>
      <c r="BN143" s="102"/>
      <c r="BO143" s="102"/>
      <c r="BP143" s="102"/>
      <c r="CA143" s="501"/>
      <c r="CB143" s="502"/>
      <c r="CC143" s="504"/>
      <c r="CD143" s="505"/>
      <c r="CE143" s="459"/>
      <c r="CF143" s="460"/>
      <c r="CG143" s="501"/>
      <c r="CH143" s="502"/>
      <c r="CI143" s="504"/>
      <c r="CJ143" s="505"/>
      <c r="CK143" s="459"/>
      <c r="CL143" s="460"/>
      <c r="CM143" s="501"/>
      <c r="CN143" s="502"/>
      <c r="CO143" s="504"/>
      <c r="CP143" s="505"/>
      <c r="CQ143" s="459"/>
      <c r="CR143" s="460"/>
      <c r="CS143" s="501"/>
      <c r="CT143" s="502"/>
      <c r="CU143" s="504"/>
      <c r="CV143" s="505"/>
      <c r="CW143" s="459"/>
      <c r="CX143" s="460"/>
      <c r="CY143" s="501"/>
      <c r="CZ143" s="502"/>
      <c r="DA143" s="504"/>
      <c r="DB143" s="505"/>
      <c r="DC143" s="459"/>
      <c r="DD143" s="460"/>
    </row>
    <row r="144" spans="1:108" x14ac:dyDescent="0.2">
      <c r="A144" s="49"/>
      <c r="B144" s="33">
        <v>24</v>
      </c>
      <c r="C144" s="212" t="s">
        <v>309</v>
      </c>
      <c r="D144" s="503"/>
      <c r="E144" s="502"/>
      <c r="F144" s="426">
        <f t="shared" ref="F144:F146" si="157">BI144</f>
        <v>2.8037383177570092</v>
      </c>
      <c r="G144" s="429">
        <f t="shared" ref="G144:G146" si="158">BJ144</f>
        <v>2.8037383177570092</v>
      </c>
      <c r="H144" s="459" t="s">
        <v>22</v>
      </c>
      <c r="I144" s="460"/>
      <c r="J144" s="156">
        <f t="shared" ref="J144:J148" si="159">HLOOKUP($Z144,$AB$116:$AF$183,$AA144,FALSE)*$F144</f>
        <v>0</v>
      </c>
      <c r="K144" s="9">
        <f t="shared" si="90"/>
        <v>0</v>
      </c>
      <c r="L144" s="27">
        <f t="shared" si="91"/>
        <v>0</v>
      </c>
      <c r="M144" s="12">
        <f t="shared" si="92"/>
        <v>0</v>
      </c>
      <c r="N144" s="9">
        <f t="shared" si="93"/>
        <v>0</v>
      </c>
      <c r="O144" s="27">
        <f t="shared" si="94"/>
        <v>0</v>
      </c>
      <c r="T144" s="91" t="str">
        <f>CONCATENATE("ref: ",Referentieproject!T144)</f>
        <v>ref: 3 prefab-beton met bordessen (6m2/st)</v>
      </c>
      <c r="U144" s="263" t="s">
        <v>145</v>
      </c>
      <c r="V144" s="263" t="s">
        <v>359</v>
      </c>
      <c r="W144" s="263" t="s">
        <v>360</v>
      </c>
      <c r="X144" s="263" t="s">
        <v>509</v>
      </c>
      <c r="Y144" s="263" t="s">
        <v>62</v>
      </c>
      <c r="Z144" s="2">
        <f>IF(D224=T144,Referentieproject!Z144,IF(D224=U144,1,IF(D224=V144,2,IF(D224=W144,3,IF(D224=X144,4,5)))))</f>
        <v>5</v>
      </c>
      <c r="AA144" s="35">
        <f t="shared" si="95"/>
        <v>29</v>
      </c>
      <c r="AB144" s="35">
        <f>HLOOKUP(AB$116,Kostengegevens!$AK$74:$BN$135,Stappen!$AA144,FALSE)</f>
        <v>529.21908299997449</v>
      </c>
      <c r="AC144" s="35">
        <f>HLOOKUP(AC$116,Kostengegevens!$AK$74:$BN$135,Stappen!$AA144,FALSE)</f>
        <v>395.31234571424193</v>
      </c>
      <c r="AD144" s="35">
        <f>HLOOKUP(AD$116,Kostengegevens!$AK$74:$BN$135,Stappen!$AA144,FALSE)</f>
        <v>566.90309033330186</v>
      </c>
      <c r="AE144" s="35">
        <f>HLOOKUP(AE$116,Kostengegevens!$AK$74:$BN$135,Stappen!$AA144,FALSE)</f>
        <v>813.71834666665336</v>
      </c>
      <c r="AF144" s="3"/>
      <c r="AG144" s="35">
        <f>HLOOKUP(AG$116+10,Kostengegevens!$AK$74:$BN$135,Stappen!$AA144,FALSE)</f>
        <v>146.30236599999478</v>
      </c>
      <c r="AH144" s="35">
        <f>HLOOKUP(AH$116+10,Kostengegevens!$AK$74:$BN$135,Stappen!$AA144,FALSE)</f>
        <v>58.275834285712335</v>
      </c>
      <c r="AI144" s="35">
        <f>HLOOKUP(AI$116+10,Kostengegevens!$AK$74:$BN$135,Stappen!$AA144,FALSE)</f>
        <v>150.06236833334549</v>
      </c>
      <c r="AJ144" s="35">
        <f>HLOOKUP(AJ$116+10,Kostengegevens!$AK$74:$BN$135,Stappen!$AA144,FALSE)</f>
        <v>271.35353333332944</v>
      </c>
      <c r="AK144" s="3"/>
      <c r="AL144" s="35">
        <f>HLOOKUP(AL$116+20,Kostengegevens!$AK$74:$BN$135,Stappen!$AA144,FALSE)</f>
        <v>109.21004100004211</v>
      </c>
      <c r="AM144" s="35">
        <f>HLOOKUP(AM$116+20,Kostengegevens!$AK$74:$BN$135,Stappen!$AA144,FALSE)</f>
        <v>88.862191428563392</v>
      </c>
      <c r="AN144" s="35">
        <f>HLOOKUP(AN$116+20,Kostengegevens!$AK$74:$BN$135,Stappen!$AA144,FALSE)</f>
        <v>405.92660699992348</v>
      </c>
      <c r="AO144" s="35">
        <f>HLOOKUP(AO$116+20,Kostengegevens!$AK$74:$BN$135,Stappen!$AA144,FALSE)</f>
        <v>538.88131333328761</v>
      </c>
      <c r="AP144" s="3"/>
      <c r="AQ144" s="35">
        <f>HLOOKUP(AQ$116+30,Kostengegevens!$AK$74:$BN$135,Stappen!$AA144,FALSE)</f>
        <v>1855.1751040004201</v>
      </c>
      <c r="AR144" s="35">
        <f>HLOOKUP(AR$116+30,Kostengegevens!$AK$74:$BN$135,Stappen!$AA144,FALSE)</f>
        <v>1337.2652799997995</v>
      </c>
      <c r="AS144" s="35">
        <f>HLOOKUP(AS$116+30,Kostengegevens!$AK$74:$BN$135,Stappen!$AA144,FALSE)</f>
        <v>4335.5646600001201</v>
      </c>
      <c r="AT144" s="35">
        <f>HLOOKUP(AT$116+30,Kostengegevens!$AK$74:$BN$135,Stappen!$AA144,FALSE)</f>
        <v>7880.1120999997474</v>
      </c>
      <c r="AU144" s="3"/>
      <c r="AV144" s="35">
        <f>HLOOKUP(AV$116+40,Kostengegevens!$AK$74:$BN$135,Stappen!$AA144,FALSE)</f>
        <v>9.6064179999987118</v>
      </c>
      <c r="AW144" s="35">
        <f>HLOOKUP(AW$116+40,Kostengegevens!$AK$74:$BN$135,Stappen!$AA144,FALSE)</f>
        <v>7.7270457142897158</v>
      </c>
      <c r="AX144" s="35">
        <f>HLOOKUP(AX$116+40,Kostengegevens!$AK$74:$BN$135,Stappen!$AA144,FALSE)</f>
        <v>101.75571533332936</v>
      </c>
      <c r="AY144" s="35">
        <f>HLOOKUP(AY$116+40,Kostengegevens!$AK$74:$BN$135,Stappen!$AA144,FALSE)</f>
        <v>78.00094666666314</v>
      </c>
      <c r="AZ144" s="3"/>
      <c r="BA144" s="35">
        <f>HLOOKUP(BA$116+50,Kostengegevens!$AK$74:$BN$135,Stappen!$AA144,FALSE)</f>
        <v>20.042552000004775</v>
      </c>
      <c r="BB144" s="35">
        <f>HLOOKUP(BB$116+50,Kostengegevens!$AK$74:$BN$135,Stappen!$AA144,FALSE)</f>
        <v>5.4212114285660959</v>
      </c>
      <c r="BC144" s="35">
        <f>HLOOKUP(BC$116+50,Kostengegevens!$AK$74:$BN$135,Stappen!$AA144,FALSE)</f>
        <v>58.794391666658328</v>
      </c>
      <c r="BD144" s="35">
        <f>HLOOKUP(BD$116+50,Kostengegevens!$AK$74:$BN$135,Stappen!$AA144,FALSE)</f>
        <v>72.42915000000113</v>
      </c>
      <c r="BE144" s="3"/>
      <c r="BG144" s="2">
        <v>8</v>
      </c>
      <c r="BH144" s="57">
        <v>29</v>
      </c>
      <c r="BI144" s="35">
        <f>BJ144/BJ$31*BI$31</f>
        <v>2.8037383177570092</v>
      </c>
      <c r="BJ144" s="56">
        <f>HLOOKUP(BJ$116,$BL$116:$BP$178,BH144,FALSE)*VLOOKUP($BG144,$BH$24:$BJ$46,3,FALSE)</f>
        <v>2.8037383177570092</v>
      </c>
      <c r="BK144" s="47" t="s">
        <v>22</v>
      </c>
      <c r="BL144" s="102">
        <f>42/926</f>
        <v>4.5356371490280781E-2</v>
      </c>
      <c r="BM144" s="102">
        <f>24/1284</f>
        <v>1.8691588785046728E-2</v>
      </c>
      <c r="BN144" s="102">
        <f>8/398</f>
        <v>2.0100502512562814E-2</v>
      </c>
      <c r="BO144" s="102">
        <f>21/1141</f>
        <v>1.8404907975460124E-2</v>
      </c>
      <c r="BP144" s="102">
        <f>69/926</f>
        <v>7.4514038876889843E-2</v>
      </c>
      <c r="BQ144" s="102"/>
      <c r="BR144" s="2">
        <v>2</v>
      </c>
      <c r="BS144" s="2">
        <v>3</v>
      </c>
      <c r="BT144" s="2">
        <v>4</v>
      </c>
      <c r="BU144" s="2">
        <v>4</v>
      </c>
      <c r="CA144" s="503"/>
      <c r="CB144" s="502"/>
      <c r="CC144" s="426">
        <f t="shared" ref="CC144:CC146" si="160">EF144</f>
        <v>0</v>
      </c>
      <c r="CD144" s="429">
        <f t="shared" ref="CD144:CD146" si="161">EG144</f>
        <v>0</v>
      </c>
      <c r="CE144" s="459" t="s">
        <v>22</v>
      </c>
      <c r="CF144" s="460"/>
      <c r="CG144" s="503"/>
      <c r="CH144" s="502"/>
      <c r="CI144" s="426">
        <f t="shared" ref="CI144:CI146" si="162">EL144</f>
        <v>0</v>
      </c>
      <c r="CJ144" s="429">
        <f t="shared" ref="CJ144:CJ146" si="163">EM144</f>
        <v>0</v>
      </c>
      <c r="CK144" s="459" t="s">
        <v>22</v>
      </c>
      <c r="CL144" s="460"/>
      <c r="CM144" s="503"/>
      <c r="CN144" s="502"/>
      <c r="CO144" s="426">
        <f t="shared" ref="CO144:CO146" si="164">ER144</f>
        <v>0</v>
      </c>
      <c r="CP144" s="429">
        <f t="shared" ref="CP144:CP146" si="165">ES144</f>
        <v>0</v>
      </c>
      <c r="CQ144" s="459" t="s">
        <v>22</v>
      </c>
      <c r="CR144" s="460"/>
      <c r="CS144" s="503"/>
      <c r="CT144" s="502"/>
      <c r="CU144" s="426">
        <f t="shared" ref="CU144:CU146" si="166">EX144</f>
        <v>0</v>
      </c>
      <c r="CV144" s="429">
        <f t="shared" ref="CV144:CV146" si="167">EY144</f>
        <v>0</v>
      </c>
      <c r="CW144" s="459" t="s">
        <v>22</v>
      </c>
      <c r="CX144" s="460"/>
      <c r="CY144" s="503"/>
      <c r="CZ144" s="502"/>
      <c r="DA144" s="426"/>
      <c r="DB144" s="429"/>
      <c r="DC144" s="459"/>
      <c r="DD144" s="460"/>
    </row>
    <row r="145" spans="1:108" x14ac:dyDescent="0.2">
      <c r="A145" s="49"/>
      <c r="B145" s="33">
        <v>34</v>
      </c>
      <c r="C145" s="212" t="s">
        <v>310</v>
      </c>
      <c r="D145" s="503"/>
      <c r="E145" s="502"/>
      <c r="F145" s="426">
        <f t="shared" si="157"/>
        <v>11.214953271028037</v>
      </c>
      <c r="G145" s="429">
        <f t="shared" si="158"/>
        <v>11.214953271028037</v>
      </c>
      <c r="H145" s="459" t="s">
        <v>26</v>
      </c>
      <c r="I145" s="460"/>
      <c r="J145" s="156">
        <f t="shared" si="159"/>
        <v>0</v>
      </c>
      <c r="K145" s="9">
        <f t="shared" si="90"/>
        <v>0</v>
      </c>
      <c r="L145" s="27">
        <f t="shared" si="91"/>
        <v>0</v>
      </c>
      <c r="M145" s="12">
        <f t="shared" si="92"/>
        <v>0</v>
      </c>
      <c r="N145" s="9">
        <f t="shared" si="93"/>
        <v>0</v>
      </c>
      <c r="O145" s="27">
        <f t="shared" si="94"/>
        <v>0</v>
      </c>
      <c r="T145" s="91" t="str">
        <f>CONCATENATE("ref: ",Referentieproject!T145)</f>
        <v>ref: 4 balkon- en traphekken: glasplaten</v>
      </c>
      <c r="U145" s="263" t="s">
        <v>111</v>
      </c>
      <c r="V145" s="263" t="s">
        <v>362</v>
      </c>
      <c r="W145" s="263" t="s">
        <v>112</v>
      </c>
      <c r="X145" s="263" t="s">
        <v>363</v>
      </c>
      <c r="Y145" s="263" t="s">
        <v>62</v>
      </c>
      <c r="Z145" s="2">
        <f>IF(D225=T145,Referentieproject!Z145,IF(D225=U145,1,IF(D225=V145,2,IF(D225=W145,3,IF(D225=X145,4,5)))))</f>
        <v>5</v>
      </c>
      <c r="AA145" s="35">
        <f t="shared" si="95"/>
        <v>30</v>
      </c>
      <c r="AB145" s="35">
        <f>HLOOKUP(AB$116,Kostengegevens!$AK$74:$BN$135,Stappen!$AA145,FALSE)</f>
        <v>153.26500000013039</v>
      </c>
      <c r="AC145" s="35">
        <f>HLOOKUP(AC$116,Kostengegevens!$AK$74:$BN$135,Stappen!$AA145,FALSE)</f>
        <v>119.75</v>
      </c>
      <c r="AD145" s="35">
        <f>HLOOKUP(AD$116,Kostengegevens!$AK$74:$BN$135,Stappen!$AA145,FALSE)</f>
        <v>140.92389999999432</v>
      </c>
      <c r="AE145" s="35">
        <f>HLOOKUP(AE$116,Kostengegevens!$AK$74:$BN$135,Stappen!$AA145,FALSE)</f>
        <v>392.96320000004516</v>
      </c>
      <c r="AF145" s="3"/>
      <c r="AG145" s="35">
        <f>HLOOKUP(AG$116+10,Kostengegevens!$AK$74:$BN$135,Stappen!$AA145,FALSE)</f>
        <v>48.57999999995809</v>
      </c>
      <c r="AH145" s="35">
        <f>HLOOKUP(AH$116+10,Kostengegevens!$AK$74:$BN$135,Stappen!$AA145,FALSE)</f>
        <v>13.800000000017462</v>
      </c>
      <c r="AI145" s="35">
        <f>HLOOKUP(AI$116+10,Kostengegevens!$AK$74:$BN$135,Stappen!$AA145,FALSE)</f>
        <v>15.084149999992178</v>
      </c>
      <c r="AJ145" s="35">
        <f>HLOOKUP(AJ$116+10,Kostengegevens!$AK$74:$BN$135,Stappen!$AA145,FALSE)</f>
        <v>71.301749999989966</v>
      </c>
      <c r="AK145" s="3"/>
      <c r="AL145" s="35">
        <f>HLOOKUP(AL$116+20,Kostengegevens!$AK$74:$BN$135,Stappen!$AA145,FALSE)</f>
        <v>65.940000000060536</v>
      </c>
      <c r="AM145" s="35">
        <f>HLOOKUP(AM$116+20,Kostengegevens!$AK$74:$BN$135,Stappen!$AA145,FALSE)</f>
        <v>56.004999999888241</v>
      </c>
      <c r="AN145" s="35">
        <f>HLOOKUP(AN$116+20,Kostengegevens!$AK$74:$BN$135,Stappen!$AA145,FALSE)</f>
        <v>54.397050000028685</v>
      </c>
      <c r="AO145" s="35">
        <f>HLOOKUP(AO$116+20,Kostengegevens!$AK$74:$BN$135,Stappen!$AA145,FALSE)</f>
        <v>242.17019999995819</v>
      </c>
      <c r="AP145" s="3"/>
      <c r="AQ145" s="35">
        <f>HLOOKUP(AQ$116+30,Kostengegevens!$AK$74:$BN$135,Stappen!$AA145,FALSE)</f>
        <v>500.82000000029802</v>
      </c>
      <c r="AR145" s="35">
        <f>HLOOKUP(AR$116+30,Kostengegevens!$AK$74:$BN$135,Stappen!$AA145,FALSE)</f>
        <v>286.94999999925494</v>
      </c>
      <c r="AS145" s="35">
        <f>HLOOKUP(AS$116+30,Kostengegevens!$AK$74:$BN$135,Stappen!$AA145,FALSE)</f>
        <v>585.80759999975271</v>
      </c>
      <c r="AT145" s="35">
        <f>HLOOKUP(AT$116+30,Kostengegevens!$AK$74:$BN$135,Stappen!$AA145,FALSE)</f>
        <v>3863.9977500002824</v>
      </c>
      <c r="AU145" s="3"/>
      <c r="AV145" s="35">
        <f>HLOOKUP(AV$116+40,Kostengegevens!$AK$74:$BN$135,Stappen!$AA145,FALSE)</f>
        <v>39.935000000012224</v>
      </c>
      <c r="AW145" s="35">
        <f>HLOOKUP(AW$116+40,Kostengegevens!$AK$74:$BN$135,Stappen!$AA145,FALSE)</f>
        <v>38.93499999998312</v>
      </c>
      <c r="AX145" s="35">
        <f>HLOOKUP(AX$116+40,Kostengegevens!$AK$74:$BN$135,Stappen!$AA145,FALSE)</f>
        <v>24.664199999996413</v>
      </c>
      <c r="AY145" s="35">
        <f>HLOOKUP(AY$116+40,Kostengegevens!$AK$74:$BN$135,Stappen!$AA145,FALSE)</f>
        <v>37.609199999994644</v>
      </c>
      <c r="AZ145" s="3"/>
      <c r="BA145" s="35">
        <f>HLOOKUP(BA$116+50,Kostengegevens!$AK$74:$BN$135,Stappen!$AA145,FALSE)</f>
        <v>7.3399999999674037</v>
      </c>
      <c r="BB145" s="35">
        <f>HLOOKUP(BB$116+50,Kostengegevens!$AK$74:$BN$135,Stappen!$AA145,FALSE)</f>
        <v>1.0099999999802094</v>
      </c>
      <c r="BC145" s="35">
        <f>HLOOKUP(BC$116+50,Kostengegevens!$AK$74:$BN$135,Stappen!$AA145,FALSE)</f>
        <v>4.736392999999282</v>
      </c>
      <c r="BD145" s="35">
        <f>HLOOKUP(BD$116+50,Kostengegevens!$AK$74:$BN$135,Stappen!$AA145,FALSE)</f>
        <v>28.208300000021723</v>
      </c>
      <c r="BE145" s="3"/>
      <c r="BG145" s="2">
        <v>8</v>
      </c>
      <c r="BH145" s="57">
        <v>30</v>
      </c>
      <c r="BI145" s="35">
        <f>BJ145/BJ$31*BI$31</f>
        <v>11.214953271028037</v>
      </c>
      <c r="BJ145" s="56">
        <f>HLOOKUP(BJ$116,$BL$116:$BP$178,BH145,FALSE)*VLOOKUP($BG145,$BH$24:$BJ$46,3,FALSE)</f>
        <v>11.214953271028037</v>
      </c>
      <c r="BK145" s="47" t="s">
        <v>26</v>
      </c>
      <c r="BL145" s="102">
        <f>75/926</f>
        <v>8.0993520518358536E-2</v>
      </c>
      <c r="BM145" s="102">
        <f>96/1284</f>
        <v>7.476635514018691E-2</v>
      </c>
      <c r="BN145" s="102">
        <f>35/398</f>
        <v>8.7939698492462318E-2</v>
      </c>
      <c r="BO145" s="102">
        <f>103/141</f>
        <v>0.73049645390070927</v>
      </c>
      <c r="BP145" s="102">
        <f>75/926</f>
        <v>8.0993520518358536E-2</v>
      </c>
      <c r="BR145" s="2">
        <v>2</v>
      </c>
      <c r="BS145" s="2">
        <v>4</v>
      </c>
      <c r="BT145" s="2">
        <v>3</v>
      </c>
      <c r="BU145" s="2">
        <v>3</v>
      </c>
      <c r="CA145" s="503"/>
      <c r="CB145" s="502"/>
      <c r="CC145" s="426">
        <f t="shared" si="160"/>
        <v>0</v>
      </c>
      <c r="CD145" s="429">
        <f t="shared" si="161"/>
        <v>0</v>
      </c>
      <c r="CE145" s="459" t="s">
        <v>26</v>
      </c>
      <c r="CF145" s="460"/>
      <c r="CG145" s="503"/>
      <c r="CH145" s="502"/>
      <c r="CI145" s="426">
        <f t="shared" si="162"/>
        <v>0</v>
      </c>
      <c r="CJ145" s="429">
        <f t="shared" si="163"/>
        <v>0</v>
      </c>
      <c r="CK145" s="459" t="s">
        <v>26</v>
      </c>
      <c r="CL145" s="460"/>
      <c r="CM145" s="503"/>
      <c r="CN145" s="502"/>
      <c r="CO145" s="426">
        <f t="shared" si="164"/>
        <v>0</v>
      </c>
      <c r="CP145" s="429">
        <f t="shared" si="165"/>
        <v>0</v>
      </c>
      <c r="CQ145" s="459" t="s">
        <v>26</v>
      </c>
      <c r="CR145" s="460"/>
      <c r="CS145" s="503"/>
      <c r="CT145" s="502"/>
      <c r="CU145" s="426">
        <f t="shared" si="166"/>
        <v>0</v>
      </c>
      <c r="CV145" s="429">
        <f t="shared" si="167"/>
        <v>0</v>
      </c>
      <c r="CW145" s="459" t="s">
        <v>26</v>
      </c>
      <c r="CX145" s="460"/>
      <c r="CY145" s="503"/>
      <c r="CZ145" s="502"/>
      <c r="DA145" s="426"/>
      <c r="DB145" s="429"/>
      <c r="DC145" s="459"/>
      <c r="DD145" s="460"/>
    </row>
    <row r="146" spans="1:108" x14ac:dyDescent="0.2">
      <c r="A146" s="49"/>
      <c r="B146" s="33">
        <v>44</v>
      </c>
      <c r="C146" s="212" t="s">
        <v>311</v>
      </c>
      <c r="D146" s="503"/>
      <c r="E146" s="502"/>
      <c r="F146" s="426">
        <f t="shared" si="157"/>
        <v>2.8037383177570092</v>
      </c>
      <c r="G146" s="429">
        <f t="shared" si="158"/>
        <v>2.8037383177570092</v>
      </c>
      <c r="H146" s="459" t="s">
        <v>22</v>
      </c>
      <c r="I146" s="460"/>
      <c r="J146" s="156">
        <f t="shared" si="159"/>
        <v>0</v>
      </c>
      <c r="K146" s="9">
        <f t="shared" si="90"/>
        <v>0</v>
      </c>
      <c r="L146" s="27">
        <f t="shared" si="91"/>
        <v>0</v>
      </c>
      <c r="M146" s="12">
        <f t="shared" si="92"/>
        <v>0</v>
      </c>
      <c r="N146" s="9">
        <f t="shared" si="93"/>
        <v>0</v>
      </c>
      <c r="O146" s="27">
        <f t="shared" si="94"/>
        <v>0</v>
      </c>
      <c r="T146" s="91" t="str">
        <f>CONCATENATE("ref: ",Referentieproject!T146)</f>
        <v>ref: 1 p.m. opgenomen in (1G24)</v>
      </c>
      <c r="U146" s="263" t="s">
        <v>162</v>
      </c>
      <c r="V146" s="263" t="s">
        <v>113</v>
      </c>
      <c r="W146" s="263" t="s">
        <v>114</v>
      </c>
      <c r="X146" s="263" t="s">
        <v>84</v>
      </c>
      <c r="Y146" s="263" t="s">
        <v>62</v>
      </c>
      <c r="Z146" s="2">
        <f>IF(D226=T146,Referentieproject!Z146,IF(D226=U146,1,IF(D226=V146,2,IF(D226=W146,3,IF(D226=X146,4,5)))))</f>
        <v>1</v>
      </c>
      <c r="AA146" s="35">
        <f t="shared" si="95"/>
        <v>31</v>
      </c>
      <c r="AB146" s="35">
        <f>HLOOKUP(AB$116,Kostengegevens!$AK$74:$BN$135,Stappen!$AA146,FALSE)</f>
        <v>0</v>
      </c>
      <c r="AC146" s="35">
        <f>HLOOKUP(AC$116,Kostengegevens!$AK$74:$BN$135,Stappen!$AA146,FALSE)</f>
        <v>42.441499999957159</v>
      </c>
      <c r="AD146" s="35">
        <f>HLOOKUP(AD$116,Kostengegevens!$AK$74:$BN$135,Stappen!$AA146,FALSE)</f>
        <v>96.642999999923632</v>
      </c>
      <c r="AE146" s="35">
        <f>HLOOKUP(AE$116,Kostengegevens!$AK$74:$BN$135,Stappen!$AA146,FALSE)</f>
        <v>0</v>
      </c>
      <c r="AF146" s="3"/>
      <c r="AG146" s="35">
        <f>HLOOKUP(AG$116+10,Kostengegevens!$AK$74:$BN$135,Stappen!$AA146,FALSE)</f>
        <v>0</v>
      </c>
      <c r="AH146" s="35">
        <f>HLOOKUP(AH$116+10,Kostengegevens!$AK$74:$BN$135,Stappen!$AA146,FALSE)</f>
        <v>17.759749999997439</v>
      </c>
      <c r="AI146" s="35">
        <f>HLOOKUP(AI$116+10,Kostengegevens!$AK$74:$BN$135,Stappen!$AA146,FALSE)</f>
        <v>36.609499999991385</v>
      </c>
      <c r="AJ146" s="35">
        <f>HLOOKUP(AJ$116+10,Kostengegevens!$AK$74:$BN$135,Stappen!$AA146,FALSE)</f>
        <v>0</v>
      </c>
      <c r="AK146" s="3"/>
      <c r="AL146" s="35">
        <f>HLOOKUP(AL$116+20,Kostengegevens!$AK$74:$BN$135,Stappen!$AA146,FALSE)</f>
        <v>0</v>
      </c>
      <c r="AM146" s="35">
        <f>HLOOKUP(AM$116+20,Kostengegevens!$AK$74:$BN$135,Stappen!$AA146,FALSE)</f>
        <v>33.483499999914784</v>
      </c>
      <c r="AN146" s="35">
        <f>HLOOKUP(AN$116+20,Kostengegevens!$AK$74:$BN$135,Stappen!$AA146,FALSE)</f>
        <v>70.161999999778345</v>
      </c>
      <c r="AO146" s="35">
        <f>HLOOKUP(AO$116+20,Kostengegevens!$AK$74:$BN$135,Stappen!$AA146,FALSE)</f>
        <v>0</v>
      </c>
      <c r="AP146" s="3"/>
      <c r="AQ146" s="35">
        <f>HLOOKUP(AQ$116+30,Kostengegevens!$AK$74:$BN$135,Stappen!$AA146,FALSE)</f>
        <v>0</v>
      </c>
      <c r="AR146" s="35">
        <f>HLOOKUP(AR$116+30,Kostengegevens!$AK$74:$BN$135,Stappen!$AA146,FALSE)</f>
        <v>203.79100000020117</v>
      </c>
      <c r="AS146" s="35">
        <f>HLOOKUP(AS$116+30,Kostengegevens!$AK$74:$BN$135,Stappen!$AA146,FALSE)</f>
        <v>465.29700000025332</v>
      </c>
      <c r="AT146" s="35">
        <f>HLOOKUP(AT$116+30,Kostengegevens!$AK$74:$BN$135,Stappen!$AA146,FALSE)</f>
        <v>0</v>
      </c>
      <c r="AU146" s="3"/>
      <c r="AV146" s="35">
        <f>HLOOKUP(AV$116+40,Kostengegevens!$AK$74:$BN$135,Stappen!$AA146,FALSE)</f>
        <v>0</v>
      </c>
      <c r="AW146" s="35">
        <f>HLOOKUP(AW$116+40,Kostengegevens!$AK$74:$BN$135,Stappen!$AA146,FALSE)</f>
        <v>23.510249999992084</v>
      </c>
      <c r="AX146" s="35">
        <f>HLOOKUP(AX$116+40,Kostengegevens!$AK$74:$BN$135,Stappen!$AA146,FALSE)</f>
        <v>47.300499999983003</v>
      </c>
      <c r="AY146" s="35">
        <f>HLOOKUP(AY$116+40,Kostengegevens!$AK$74:$BN$135,Stappen!$AA146,FALSE)</f>
        <v>0</v>
      </c>
      <c r="AZ146" s="3"/>
      <c r="BA146" s="35">
        <f>HLOOKUP(BA$116+50,Kostengegevens!$AK$74:$BN$135,Stappen!$AA146,FALSE)</f>
        <v>0</v>
      </c>
      <c r="BB146" s="35">
        <f>HLOOKUP(BB$116+50,Kostengegevens!$AK$74:$BN$135,Stappen!$AA146,FALSE)</f>
        <v>1.5568749999947613</v>
      </c>
      <c r="BC146" s="35">
        <f>HLOOKUP(BC$116+50,Kostengegevens!$AK$74:$BN$135,Stappen!$AA146,FALSE)</f>
        <v>3.1137499999895226</v>
      </c>
      <c r="BD146" s="35">
        <f>HLOOKUP(BD$116+50,Kostengegevens!$AK$74:$BN$135,Stappen!$AA146,FALSE)</f>
        <v>0</v>
      </c>
      <c r="BE146" s="3"/>
      <c r="BG146" s="2">
        <v>8</v>
      </c>
      <c r="BH146" s="57">
        <v>31</v>
      </c>
      <c r="BI146" s="35">
        <f>BJ146/BJ$31*BI$31</f>
        <v>2.8037383177570092</v>
      </c>
      <c r="BJ146" s="56">
        <f>HLOOKUP(BJ$116,$BL$116:$BP$178,BH146,FALSE)*VLOOKUP($BG146,$BH$24:$BJ$46,3,FALSE)</f>
        <v>2.8037383177570092</v>
      </c>
      <c r="BK146" s="47" t="s">
        <v>22</v>
      </c>
      <c r="BL146" s="102">
        <f>42/926</f>
        <v>4.5356371490280781E-2</v>
      </c>
      <c r="BM146" s="102">
        <f>24/1284</f>
        <v>1.8691588785046728E-2</v>
      </c>
      <c r="BN146" s="102">
        <f>8/398</f>
        <v>2.0100502512562814E-2</v>
      </c>
      <c r="BO146" s="102">
        <f>21/1141</f>
        <v>1.8404907975460124E-2</v>
      </c>
      <c r="BP146" s="102">
        <f>69/926</f>
        <v>7.4514038876889843E-2</v>
      </c>
      <c r="BR146" s="2">
        <v>1</v>
      </c>
      <c r="BS146" s="2">
        <v>1</v>
      </c>
      <c r="BT146" s="2">
        <v>1</v>
      </c>
      <c r="BU146" s="2">
        <v>1</v>
      </c>
      <c r="CA146" s="503"/>
      <c r="CB146" s="502"/>
      <c r="CC146" s="426">
        <f t="shared" si="160"/>
        <v>0</v>
      </c>
      <c r="CD146" s="429">
        <f t="shared" si="161"/>
        <v>0</v>
      </c>
      <c r="CE146" s="459" t="s">
        <v>22</v>
      </c>
      <c r="CF146" s="460"/>
      <c r="CG146" s="503"/>
      <c r="CH146" s="502"/>
      <c r="CI146" s="426">
        <f t="shared" si="162"/>
        <v>0</v>
      </c>
      <c r="CJ146" s="429">
        <f t="shared" si="163"/>
        <v>0</v>
      </c>
      <c r="CK146" s="459" t="s">
        <v>22</v>
      </c>
      <c r="CL146" s="460"/>
      <c r="CM146" s="503"/>
      <c r="CN146" s="502"/>
      <c r="CO146" s="426">
        <f t="shared" si="164"/>
        <v>0</v>
      </c>
      <c r="CP146" s="429">
        <f t="shared" si="165"/>
        <v>0</v>
      </c>
      <c r="CQ146" s="459" t="s">
        <v>22</v>
      </c>
      <c r="CR146" s="460"/>
      <c r="CS146" s="503"/>
      <c r="CT146" s="502"/>
      <c r="CU146" s="426">
        <f t="shared" si="166"/>
        <v>0</v>
      </c>
      <c r="CV146" s="429">
        <f t="shared" si="167"/>
        <v>0</v>
      </c>
      <c r="CW146" s="459" t="s">
        <v>22</v>
      </c>
      <c r="CX146" s="460"/>
      <c r="CY146" s="503"/>
      <c r="CZ146" s="502"/>
      <c r="DA146" s="426"/>
      <c r="DB146" s="429"/>
      <c r="DC146" s="459"/>
      <c r="DD146" s="460"/>
    </row>
    <row r="147" spans="1:108" x14ac:dyDescent="0.2">
      <c r="A147" s="1" t="s">
        <v>170</v>
      </c>
      <c r="C147" s="211" t="s">
        <v>56</v>
      </c>
      <c r="D147" s="501"/>
      <c r="E147" s="502"/>
      <c r="F147" s="504"/>
      <c r="G147" s="505"/>
      <c r="H147" s="459"/>
      <c r="I147" s="460"/>
      <c r="J147" s="156"/>
      <c r="K147" s="9"/>
      <c r="L147" s="27"/>
      <c r="M147" s="12"/>
      <c r="N147" s="9"/>
      <c r="O147" s="27"/>
      <c r="P147" s="84"/>
      <c r="T147" s="91"/>
      <c r="U147" s="263"/>
      <c r="V147" s="263"/>
      <c r="W147" s="263"/>
      <c r="X147" s="263"/>
      <c r="Y147" s="263"/>
      <c r="AA147" s="35">
        <f t="shared" si="95"/>
        <v>32</v>
      </c>
      <c r="AB147" s="35">
        <f>HLOOKUP(AB$116,Kostengegevens!$AK$74:$BN$135,Stappen!$AA147,FALSE)</f>
        <v>0</v>
      </c>
      <c r="AC147" s="35">
        <f>HLOOKUP(AC$116,Kostengegevens!$AK$74:$BN$135,Stappen!$AA147,FALSE)</f>
        <v>0</v>
      </c>
      <c r="AD147" s="35">
        <f>HLOOKUP(AD$116,Kostengegevens!$AK$74:$BN$135,Stappen!$AA147,FALSE)</f>
        <v>0</v>
      </c>
      <c r="AE147" s="35">
        <f>HLOOKUP(AE$116,Kostengegevens!$AK$74:$BN$135,Stappen!$AA147,FALSE)</f>
        <v>0</v>
      </c>
      <c r="AF147" s="3"/>
      <c r="AG147" s="35">
        <f>HLOOKUP(AG$116+10,Kostengegevens!$AK$74:$BN$135,Stappen!$AA147,FALSE)</f>
        <v>0</v>
      </c>
      <c r="AH147" s="35">
        <f>HLOOKUP(AH$116+10,Kostengegevens!$AK$74:$BN$135,Stappen!$AA147,FALSE)</f>
        <v>0</v>
      </c>
      <c r="AI147" s="35">
        <f>HLOOKUP(AI$116+10,Kostengegevens!$AK$74:$BN$135,Stappen!$AA147,FALSE)</f>
        <v>0</v>
      </c>
      <c r="AJ147" s="35">
        <f>HLOOKUP(AJ$116+10,Kostengegevens!$AK$74:$BN$135,Stappen!$AA147,FALSE)</f>
        <v>0</v>
      </c>
      <c r="AK147" s="3"/>
      <c r="AL147" s="35">
        <f>HLOOKUP(AL$116+20,Kostengegevens!$AK$74:$BN$135,Stappen!$AA147,FALSE)</f>
        <v>0</v>
      </c>
      <c r="AM147" s="35">
        <f>HLOOKUP(AM$116+20,Kostengegevens!$AK$74:$BN$135,Stappen!$AA147,FALSE)</f>
        <v>0</v>
      </c>
      <c r="AN147" s="35">
        <f>HLOOKUP(AN$116+20,Kostengegevens!$AK$74:$BN$135,Stappen!$AA147,FALSE)</f>
        <v>0</v>
      </c>
      <c r="AO147" s="35">
        <f>HLOOKUP(AO$116+20,Kostengegevens!$AK$74:$BN$135,Stappen!$AA147,FALSE)</f>
        <v>0</v>
      </c>
      <c r="AP147" s="3"/>
      <c r="AQ147" s="35">
        <f>HLOOKUP(AQ$116+30,Kostengegevens!$AK$74:$BN$135,Stappen!$AA147,FALSE)</f>
        <v>0</v>
      </c>
      <c r="AR147" s="35">
        <f>HLOOKUP(AR$116+30,Kostengegevens!$AK$74:$BN$135,Stappen!$AA147,FALSE)</f>
        <v>0</v>
      </c>
      <c r="AS147" s="35">
        <f>HLOOKUP(AS$116+30,Kostengegevens!$AK$74:$BN$135,Stappen!$AA147,FALSE)</f>
        <v>0</v>
      </c>
      <c r="AT147" s="35">
        <f>HLOOKUP(AT$116+30,Kostengegevens!$AK$74:$BN$135,Stappen!$AA147,FALSE)</f>
        <v>0</v>
      </c>
      <c r="AU147" s="3"/>
      <c r="AV147" s="35">
        <f>HLOOKUP(AV$116+40,Kostengegevens!$AK$74:$BN$135,Stappen!$AA147,FALSE)</f>
        <v>0</v>
      </c>
      <c r="AW147" s="35">
        <f>HLOOKUP(AW$116+40,Kostengegevens!$AK$74:$BN$135,Stappen!$AA147,FALSE)</f>
        <v>0</v>
      </c>
      <c r="AX147" s="35">
        <f>HLOOKUP(AX$116+40,Kostengegevens!$AK$74:$BN$135,Stappen!$AA147,FALSE)</f>
        <v>0</v>
      </c>
      <c r="AY147" s="35">
        <f>HLOOKUP(AY$116+40,Kostengegevens!$AK$74:$BN$135,Stappen!$AA147,FALSE)</f>
        <v>0</v>
      </c>
      <c r="AZ147" s="3"/>
      <c r="BA147" s="35">
        <f>HLOOKUP(BA$116+50,Kostengegevens!$AK$74:$BN$135,Stappen!$AA147,FALSE)</f>
        <v>0</v>
      </c>
      <c r="BB147" s="35">
        <f>HLOOKUP(BB$116+50,Kostengegevens!$AK$74:$BN$135,Stappen!$AA147,FALSE)</f>
        <v>0</v>
      </c>
      <c r="BC147" s="35">
        <f>HLOOKUP(BC$116+50,Kostengegevens!$AK$74:$BN$135,Stappen!$AA147,FALSE)</f>
        <v>0</v>
      </c>
      <c r="BD147" s="35">
        <f>HLOOKUP(BD$116+50,Kostengegevens!$AK$74:$BN$135,Stappen!$AA147,FALSE)</f>
        <v>0</v>
      </c>
      <c r="BE147" s="3"/>
      <c r="BH147" s="57">
        <v>32</v>
      </c>
      <c r="BI147" s="53"/>
      <c r="BJ147" s="56"/>
      <c r="BK147" s="47"/>
      <c r="BL147" s="102"/>
      <c r="BM147" s="102"/>
      <c r="BN147" s="102"/>
      <c r="BO147" s="102"/>
      <c r="BP147" s="102"/>
      <c r="CA147" s="501"/>
      <c r="CB147" s="502"/>
      <c r="CC147" s="504"/>
      <c r="CD147" s="505"/>
      <c r="CE147" s="459"/>
      <c r="CF147" s="460"/>
      <c r="CG147" s="501"/>
      <c r="CH147" s="502"/>
      <c r="CI147" s="504"/>
      <c r="CJ147" s="505"/>
      <c r="CK147" s="459"/>
      <c r="CL147" s="460"/>
      <c r="CM147" s="501"/>
      <c r="CN147" s="502"/>
      <c r="CO147" s="504"/>
      <c r="CP147" s="505"/>
      <c r="CQ147" s="459"/>
      <c r="CR147" s="460"/>
      <c r="CS147" s="501"/>
      <c r="CT147" s="502"/>
      <c r="CU147" s="504"/>
      <c r="CV147" s="505"/>
      <c r="CW147" s="459"/>
      <c r="CX147" s="460"/>
      <c r="CY147" s="501"/>
      <c r="CZ147" s="502"/>
      <c r="DA147" s="504"/>
      <c r="DB147" s="505"/>
      <c r="DC147" s="459"/>
      <c r="DD147" s="460"/>
    </row>
    <row r="148" spans="1:108" x14ac:dyDescent="0.2">
      <c r="A148" s="49"/>
      <c r="B148" s="33">
        <v>45</v>
      </c>
      <c r="C148" s="212" t="s">
        <v>312</v>
      </c>
      <c r="D148" s="503"/>
      <c r="E148" s="502"/>
      <c r="F148" s="426">
        <f t="shared" ref="F148" si="168">BI148</f>
        <v>138.78504672897196</v>
      </c>
      <c r="G148" s="429">
        <f t="shared" ref="G148" si="169">BJ148</f>
        <v>138.78504672897196</v>
      </c>
      <c r="H148" s="459" t="s">
        <v>22</v>
      </c>
      <c r="I148" s="460"/>
      <c r="J148" s="156">
        <f t="shared" si="159"/>
        <v>638.41121495325842</v>
      </c>
      <c r="K148" s="9">
        <f t="shared" si="90"/>
        <v>210.95327102415345</v>
      </c>
      <c r="L148" s="27">
        <f t="shared" si="91"/>
        <v>605.65794393350586</v>
      </c>
      <c r="M148" s="12">
        <f t="shared" si="92"/>
        <v>12072.63364500034</v>
      </c>
      <c r="N148" s="9">
        <f t="shared" si="93"/>
        <v>64.951401866644744</v>
      </c>
      <c r="O148" s="27">
        <f t="shared" si="94"/>
        <v>54.403738319957476</v>
      </c>
      <c r="T148" s="91" t="str">
        <f>CONCATENATE("ref: ",Referentieproject!T148)</f>
        <v>ref: 1 woningbouw: spuitwerk (onderz.vloer)</v>
      </c>
      <c r="U148" s="263" t="s">
        <v>340</v>
      </c>
      <c r="V148" s="263" t="s">
        <v>117</v>
      </c>
      <c r="W148" s="263" t="s">
        <v>364</v>
      </c>
      <c r="X148" s="263" t="s">
        <v>365</v>
      </c>
      <c r="Y148" s="263" t="s">
        <v>62</v>
      </c>
      <c r="Z148" s="2">
        <f>IF(D228=T148,Referentieproject!Z148,IF(D228=U148,1,IF(D228=V148,2,IF(D228=W148,3,IF(D228=X148,4,5)))))</f>
        <v>1</v>
      </c>
      <c r="AA148" s="35">
        <f t="shared" si="95"/>
        <v>33</v>
      </c>
      <c r="AB148" s="35">
        <f>HLOOKUP(AB$116,Kostengegevens!$AK$74:$BN$135,Stappen!$AA148,FALSE)</f>
        <v>4.5999999999999091</v>
      </c>
      <c r="AC148" s="35">
        <f>HLOOKUP(AC$116,Kostengegevens!$AK$74:$BN$135,Stappen!$AA148,FALSE)</f>
        <v>50.898653333245875</v>
      </c>
      <c r="AD148" s="35">
        <f>HLOOKUP(AD$116,Kostengegevens!$AK$74:$BN$135,Stappen!$AA148,FALSE)</f>
        <v>64.617306666790228</v>
      </c>
      <c r="AE148" s="35">
        <f>HLOOKUP(AE$116,Kostengegevens!$AK$74:$BN$135,Stappen!$AA148,FALSE)</f>
        <v>64.074726666525748</v>
      </c>
      <c r="AF148" s="3"/>
      <c r="AG148" s="35">
        <f>HLOOKUP(AG$116+10,Kostengegevens!$AK$74:$BN$135,Stappen!$AA148,FALSE)</f>
        <v>1.5199999999720148</v>
      </c>
      <c r="AH148" s="35">
        <f>HLOOKUP(AH$116+10,Kostengegevens!$AK$74:$BN$135,Stappen!$AA148,FALSE)</f>
        <v>14.805116666688491</v>
      </c>
      <c r="AI148" s="35">
        <f>HLOOKUP(AI$116+10,Kostengegevens!$AK$74:$BN$135,Stappen!$AA148,FALSE)</f>
        <v>19.260233333312954</v>
      </c>
      <c r="AJ148" s="35">
        <f>HLOOKUP(AJ$116+10,Kostengegevens!$AK$74:$BN$135,Stappen!$AA148,FALSE)</f>
        <v>14.094308333342383</v>
      </c>
      <c r="AK148" s="3"/>
      <c r="AL148" s="35">
        <f>HLOOKUP(AL$116+20,Kostengegevens!$AK$74:$BN$135,Stappen!$AA148,FALSE)</f>
        <v>4.3640000000596046</v>
      </c>
      <c r="AM148" s="35">
        <f>HLOOKUP(AM$116+20,Kostengegevens!$AK$74:$BN$135,Stappen!$AA148,FALSE)</f>
        <v>27.348786666515934</v>
      </c>
      <c r="AN148" s="35">
        <f>HLOOKUP(AN$116+20,Kostengegevens!$AK$74:$BN$135,Stappen!$AA148,FALSE)</f>
        <v>35.55757333348356</v>
      </c>
      <c r="AO148" s="35">
        <f>HLOOKUP(AO$116+20,Kostengegevens!$AK$74:$BN$135,Stappen!$AA148,FALSE)</f>
        <v>48.156293333271151</v>
      </c>
      <c r="AP148" s="3"/>
      <c r="AQ148" s="35">
        <f>HLOOKUP(AQ$116+30,Kostengegevens!$AK$74:$BN$135,Stappen!$AA148,FALSE)</f>
        <v>86.988000001012551</v>
      </c>
      <c r="AR148" s="35">
        <f>HLOOKUP(AR$116+30,Kostengegevens!$AK$74:$BN$135,Stappen!$AA148,FALSE)</f>
        <v>389.8574833323546</v>
      </c>
      <c r="AS148" s="35">
        <f>HLOOKUP(AS$116+30,Kostengegevens!$AK$74:$BN$135,Stappen!$AA148,FALSE)</f>
        <v>458.57996666679901</v>
      </c>
      <c r="AT148" s="35">
        <f>HLOOKUP(AT$116+30,Kostengegevens!$AK$74:$BN$135,Stappen!$AA148,FALSE)</f>
        <v>452.84499166688693</v>
      </c>
      <c r="AU148" s="3"/>
      <c r="AV148" s="35">
        <f>HLOOKUP(AV$116+40,Kostengegevens!$AK$74:$BN$135,Stappen!$AA148,FALSE)</f>
        <v>0.46799999998188468</v>
      </c>
      <c r="AW148" s="35">
        <f>HLOOKUP(AW$116+40,Kostengegevens!$AK$74:$BN$135,Stappen!$AA148,FALSE)</f>
        <v>6.9370533333460571</v>
      </c>
      <c r="AX148" s="35">
        <f>HLOOKUP(AX$116+40,Kostengegevens!$AK$74:$BN$135,Stappen!$AA148,FALSE)</f>
        <v>11.594106666664175</v>
      </c>
      <c r="AY148" s="35">
        <f>HLOOKUP(AY$116+40,Kostengegevens!$AK$74:$BN$135,Stappen!$AA148,FALSE)</f>
        <v>24.895926666673518</v>
      </c>
      <c r="AZ148" s="3"/>
      <c r="BA148" s="35">
        <f>HLOOKUP(BA$116+50,Kostengegevens!$AK$74:$BN$135,Stappen!$AA148,FALSE)</f>
        <v>0.39200000001585522</v>
      </c>
      <c r="BB148" s="35">
        <f>HLOOKUP(BB$116+50,Kostengegevens!$AK$74:$BN$135,Stappen!$AA148,FALSE)</f>
        <v>10.306233333350008</v>
      </c>
      <c r="BC148" s="35">
        <f>HLOOKUP(BC$116+50,Kostengegevens!$AK$74:$BN$135,Stappen!$AA148,FALSE)</f>
        <v>11.844966666654614</v>
      </c>
      <c r="BD148" s="35">
        <f>HLOOKUP(BD$116+50,Kostengegevens!$AK$74:$BN$135,Stappen!$AA148,FALSE)</f>
        <v>7.043991666657746</v>
      </c>
      <c r="BE148" s="3"/>
      <c r="BG148" s="2">
        <v>9</v>
      </c>
      <c r="BH148" s="57">
        <v>33</v>
      </c>
      <c r="BI148" s="35">
        <f>BJ148/BJ$32*BI$32</f>
        <v>138.78504672897196</v>
      </c>
      <c r="BJ148" s="56">
        <f>HLOOKUP(BJ$116,$BL$116:$BP$178,BH148,FALSE)*VLOOKUP($BG148,$BH$24:$BJ$46,3,FALSE)</f>
        <v>138.78504672897196</v>
      </c>
      <c r="BK148" s="47" t="s">
        <v>22</v>
      </c>
      <c r="BL148" s="102">
        <f>952/926</f>
        <v>1.0280777537796977</v>
      </c>
      <c r="BM148" s="102">
        <f>1188/1284</f>
        <v>0.92523364485981308</v>
      </c>
      <c r="BN148" s="102">
        <f>369/398</f>
        <v>0.92713567839195976</v>
      </c>
      <c r="BO148" s="102">
        <f>1022/1141</f>
        <v>0.89570552147239269</v>
      </c>
      <c r="BP148" s="102">
        <f>952/926</f>
        <v>1.0280777537796977</v>
      </c>
      <c r="BR148" s="2">
        <v>1</v>
      </c>
      <c r="BS148" s="2">
        <v>1</v>
      </c>
      <c r="BT148" s="2">
        <v>2</v>
      </c>
      <c r="BU148" s="2">
        <v>2</v>
      </c>
      <c r="CA148" s="503"/>
      <c r="CB148" s="502"/>
      <c r="CC148" s="426">
        <f t="shared" ref="CC148" si="170">EF148</f>
        <v>0</v>
      </c>
      <c r="CD148" s="429">
        <f t="shared" ref="CD148" si="171">EG148</f>
        <v>0</v>
      </c>
      <c r="CE148" s="459" t="s">
        <v>22</v>
      </c>
      <c r="CF148" s="460"/>
      <c r="CG148" s="503"/>
      <c r="CH148" s="502"/>
      <c r="CI148" s="426">
        <f t="shared" ref="CI148" si="172">EL148</f>
        <v>0</v>
      </c>
      <c r="CJ148" s="429">
        <f t="shared" ref="CJ148" si="173">EM148</f>
        <v>0</v>
      </c>
      <c r="CK148" s="459" t="s">
        <v>22</v>
      </c>
      <c r="CL148" s="460"/>
      <c r="CM148" s="503"/>
      <c r="CN148" s="502"/>
      <c r="CO148" s="426">
        <f t="shared" ref="CO148" si="174">ER148</f>
        <v>0</v>
      </c>
      <c r="CP148" s="429">
        <f t="shared" ref="CP148" si="175">ES148</f>
        <v>0</v>
      </c>
      <c r="CQ148" s="459" t="s">
        <v>22</v>
      </c>
      <c r="CR148" s="460"/>
      <c r="CS148" s="503"/>
      <c r="CT148" s="502"/>
      <c r="CU148" s="426">
        <f t="shared" ref="CU148" si="176">EX148</f>
        <v>0</v>
      </c>
      <c r="CV148" s="429">
        <f t="shared" ref="CV148" si="177">EY148</f>
        <v>0</v>
      </c>
      <c r="CW148" s="459" t="s">
        <v>22</v>
      </c>
      <c r="CX148" s="460"/>
      <c r="CY148" s="503"/>
      <c r="CZ148" s="502"/>
      <c r="DA148" s="426"/>
      <c r="DB148" s="429"/>
      <c r="DC148" s="459"/>
      <c r="DD148" s="460"/>
    </row>
    <row r="149" spans="1:108" x14ac:dyDescent="0.2">
      <c r="C149" s="15" t="s">
        <v>42</v>
      </c>
      <c r="D149" s="461"/>
      <c r="E149" s="502"/>
      <c r="F149" s="504"/>
      <c r="G149" s="459"/>
      <c r="H149" s="459"/>
      <c r="I149" s="460"/>
      <c r="J149" s="156"/>
      <c r="K149" s="9"/>
      <c r="L149" s="27"/>
      <c r="M149" s="12"/>
      <c r="N149" s="9"/>
      <c r="O149" s="27"/>
      <c r="P149" s="84"/>
      <c r="T149" s="91"/>
      <c r="U149" s="263"/>
      <c r="V149" s="263"/>
      <c r="W149" s="263"/>
      <c r="X149" s="263"/>
      <c r="Y149" s="263"/>
      <c r="AA149" s="35">
        <f t="shared" si="95"/>
        <v>34</v>
      </c>
      <c r="AB149" s="35">
        <f>HLOOKUP(AB$116,Kostengegevens!$AK$74:$BN$135,Stappen!$AA149,FALSE)</f>
        <v>0</v>
      </c>
      <c r="AC149" s="35">
        <f>HLOOKUP(AC$116,Kostengegevens!$AK$74:$BN$135,Stappen!$AA149,FALSE)</f>
        <v>0</v>
      </c>
      <c r="AD149" s="35">
        <f>HLOOKUP(AD$116,Kostengegevens!$AK$74:$BN$135,Stappen!$AA149,FALSE)</f>
        <v>0</v>
      </c>
      <c r="AE149" s="35">
        <f>HLOOKUP(AE$116,Kostengegevens!$AK$74:$BN$135,Stappen!$AA149,FALSE)</f>
        <v>0</v>
      </c>
      <c r="AF149" s="3"/>
      <c r="AG149" s="35">
        <f>HLOOKUP(AG$116+10,Kostengegevens!$AK$74:$BN$135,Stappen!$AA149,FALSE)</f>
        <v>0</v>
      </c>
      <c r="AH149" s="35">
        <f>HLOOKUP(AH$116+10,Kostengegevens!$AK$74:$BN$135,Stappen!$AA149,FALSE)</f>
        <v>0</v>
      </c>
      <c r="AI149" s="35">
        <f>HLOOKUP(AI$116+10,Kostengegevens!$AK$74:$BN$135,Stappen!$AA149,FALSE)</f>
        <v>0</v>
      </c>
      <c r="AJ149" s="35">
        <f>HLOOKUP(AJ$116+10,Kostengegevens!$AK$74:$BN$135,Stappen!$AA149,FALSE)</f>
        <v>0</v>
      </c>
      <c r="AK149" s="3"/>
      <c r="AL149" s="35">
        <f>HLOOKUP(AL$116+20,Kostengegevens!$AK$74:$BN$135,Stappen!$AA149,FALSE)</f>
        <v>0</v>
      </c>
      <c r="AM149" s="35">
        <f>HLOOKUP(AM$116+20,Kostengegevens!$AK$74:$BN$135,Stappen!$AA149,FALSE)</f>
        <v>0</v>
      </c>
      <c r="AN149" s="35">
        <f>HLOOKUP(AN$116+20,Kostengegevens!$AK$74:$BN$135,Stappen!$AA149,FALSE)</f>
        <v>0</v>
      </c>
      <c r="AO149" s="35">
        <f>HLOOKUP(AO$116+20,Kostengegevens!$AK$74:$BN$135,Stappen!$AA149,FALSE)</f>
        <v>0</v>
      </c>
      <c r="AP149" s="3"/>
      <c r="AQ149" s="35">
        <f>HLOOKUP(AQ$116+30,Kostengegevens!$AK$74:$BN$135,Stappen!$AA149,FALSE)</f>
        <v>0</v>
      </c>
      <c r="AR149" s="35">
        <f>HLOOKUP(AR$116+30,Kostengegevens!$AK$74:$BN$135,Stappen!$AA149,FALSE)</f>
        <v>0</v>
      </c>
      <c r="AS149" s="35">
        <f>HLOOKUP(AS$116+30,Kostengegevens!$AK$74:$BN$135,Stappen!$AA149,FALSE)</f>
        <v>0</v>
      </c>
      <c r="AT149" s="35">
        <f>HLOOKUP(AT$116+30,Kostengegevens!$AK$74:$BN$135,Stappen!$AA149,FALSE)</f>
        <v>0</v>
      </c>
      <c r="AU149" s="3"/>
      <c r="AV149" s="35">
        <f>HLOOKUP(AV$116+40,Kostengegevens!$AK$74:$BN$135,Stappen!$AA149,FALSE)</f>
        <v>0</v>
      </c>
      <c r="AW149" s="35">
        <f>HLOOKUP(AW$116+40,Kostengegevens!$AK$74:$BN$135,Stappen!$AA149,FALSE)</f>
        <v>0</v>
      </c>
      <c r="AX149" s="35">
        <f>HLOOKUP(AX$116+40,Kostengegevens!$AK$74:$BN$135,Stappen!$AA149,FALSE)</f>
        <v>0</v>
      </c>
      <c r="AY149" s="35">
        <f>HLOOKUP(AY$116+40,Kostengegevens!$AK$74:$BN$135,Stappen!$AA149,FALSE)</f>
        <v>0</v>
      </c>
      <c r="AZ149" s="3"/>
      <c r="BA149" s="35">
        <f>HLOOKUP(BA$116+50,Kostengegevens!$AK$74:$BN$135,Stappen!$AA149,FALSE)</f>
        <v>0</v>
      </c>
      <c r="BB149" s="35">
        <f>HLOOKUP(BB$116+50,Kostengegevens!$AK$74:$BN$135,Stappen!$AA149,FALSE)</f>
        <v>0</v>
      </c>
      <c r="BC149" s="35">
        <f>HLOOKUP(BC$116+50,Kostengegevens!$AK$74:$BN$135,Stappen!$AA149,FALSE)</f>
        <v>0</v>
      </c>
      <c r="BD149" s="35">
        <f>HLOOKUP(BD$116+50,Kostengegevens!$AK$74:$BN$135,Stappen!$AA149,FALSE)</f>
        <v>0</v>
      </c>
      <c r="BE149" s="3"/>
      <c r="BH149" s="57">
        <v>34</v>
      </c>
      <c r="BI149" s="53"/>
      <c r="BJ149" s="56"/>
      <c r="BK149" s="47"/>
      <c r="BL149" s="102"/>
      <c r="BM149" s="102"/>
      <c r="BN149" s="102"/>
      <c r="BO149" s="102"/>
      <c r="BP149" s="102"/>
      <c r="CA149" s="461"/>
      <c r="CB149" s="502"/>
      <c r="CC149" s="504"/>
      <c r="CD149" s="459"/>
      <c r="CE149" s="459"/>
      <c r="CF149" s="460"/>
      <c r="CG149" s="461"/>
      <c r="CH149" s="502"/>
      <c r="CI149" s="504"/>
      <c r="CJ149" s="459"/>
      <c r="CK149" s="459"/>
      <c r="CL149" s="460"/>
      <c r="CM149" s="461"/>
      <c r="CN149" s="502"/>
      <c r="CO149" s="504"/>
      <c r="CP149" s="459"/>
      <c r="CQ149" s="459"/>
      <c r="CR149" s="460"/>
      <c r="CS149" s="461"/>
      <c r="CT149" s="502"/>
      <c r="CU149" s="504"/>
      <c r="CV149" s="459"/>
      <c r="CW149" s="459"/>
      <c r="CX149" s="460"/>
      <c r="CY149" s="461"/>
      <c r="CZ149" s="502"/>
      <c r="DA149" s="504"/>
      <c r="DB149" s="459"/>
      <c r="DC149" s="459"/>
      <c r="DD149" s="460"/>
    </row>
    <row r="150" spans="1:108" x14ac:dyDescent="0.2">
      <c r="A150" s="1" t="s">
        <v>171</v>
      </c>
      <c r="C150" s="211" t="s">
        <v>9</v>
      </c>
      <c r="D150" s="501"/>
      <c r="E150" s="502"/>
      <c r="F150" s="504"/>
      <c r="G150" s="505"/>
      <c r="H150" s="459"/>
      <c r="I150" s="460"/>
      <c r="J150" s="6"/>
      <c r="K150" s="9"/>
      <c r="L150" s="27"/>
      <c r="M150" s="12"/>
      <c r="N150" s="9"/>
      <c r="O150" s="27"/>
      <c r="P150" s="84"/>
      <c r="T150" s="91"/>
      <c r="U150" s="263"/>
      <c r="V150" s="263"/>
      <c r="W150" s="263"/>
      <c r="X150" s="263"/>
      <c r="Y150" s="263"/>
      <c r="AA150" s="35">
        <f t="shared" si="95"/>
        <v>35</v>
      </c>
      <c r="AB150" s="35">
        <f>HLOOKUP(AB$116,Kostengegevens!$AK$74:$BN$135,Stappen!$AA150,FALSE)</f>
        <v>0</v>
      </c>
      <c r="AC150" s="35">
        <f>HLOOKUP(AC$116,Kostengegevens!$AK$74:$BN$135,Stappen!$AA150,FALSE)</f>
        <v>0</v>
      </c>
      <c r="AD150" s="35">
        <f>HLOOKUP(AD$116,Kostengegevens!$AK$74:$BN$135,Stappen!$AA150,FALSE)</f>
        <v>0</v>
      </c>
      <c r="AE150" s="35">
        <f>HLOOKUP(AE$116,Kostengegevens!$AK$74:$BN$135,Stappen!$AA150,FALSE)</f>
        <v>0</v>
      </c>
      <c r="AF150" s="3"/>
      <c r="AG150" s="35">
        <f>HLOOKUP(AG$116+10,Kostengegevens!$AK$74:$BN$135,Stappen!$AA150,FALSE)</f>
        <v>0</v>
      </c>
      <c r="AH150" s="35">
        <f>HLOOKUP(AH$116+10,Kostengegevens!$AK$74:$BN$135,Stappen!$AA150,FALSE)</f>
        <v>0</v>
      </c>
      <c r="AI150" s="35">
        <f>HLOOKUP(AI$116+10,Kostengegevens!$AK$74:$BN$135,Stappen!$AA150,FALSE)</f>
        <v>0</v>
      </c>
      <c r="AJ150" s="35">
        <f>HLOOKUP(AJ$116+10,Kostengegevens!$AK$74:$BN$135,Stappen!$AA150,FALSE)</f>
        <v>0</v>
      </c>
      <c r="AK150" s="3"/>
      <c r="AL150" s="35">
        <f>HLOOKUP(AL$116+20,Kostengegevens!$AK$74:$BN$135,Stappen!$AA150,FALSE)</f>
        <v>0</v>
      </c>
      <c r="AM150" s="35">
        <f>HLOOKUP(AM$116+20,Kostengegevens!$AK$74:$BN$135,Stappen!$AA150,FALSE)</f>
        <v>0</v>
      </c>
      <c r="AN150" s="35">
        <f>HLOOKUP(AN$116+20,Kostengegevens!$AK$74:$BN$135,Stappen!$AA150,FALSE)</f>
        <v>0</v>
      </c>
      <c r="AO150" s="35">
        <f>HLOOKUP(AO$116+20,Kostengegevens!$AK$74:$BN$135,Stappen!$AA150,FALSE)</f>
        <v>0</v>
      </c>
      <c r="AP150" s="3"/>
      <c r="AQ150" s="35">
        <f>HLOOKUP(AQ$116+30,Kostengegevens!$AK$74:$BN$135,Stappen!$AA150,FALSE)</f>
        <v>0</v>
      </c>
      <c r="AR150" s="35">
        <f>HLOOKUP(AR$116+30,Kostengegevens!$AK$74:$BN$135,Stappen!$AA150,FALSE)</f>
        <v>0</v>
      </c>
      <c r="AS150" s="35">
        <f>HLOOKUP(AS$116+30,Kostengegevens!$AK$74:$BN$135,Stappen!$AA150,FALSE)</f>
        <v>0</v>
      </c>
      <c r="AT150" s="35">
        <f>HLOOKUP(AT$116+30,Kostengegevens!$AK$74:$BN$135,Stappen!$AA150,FALSE)</f>
        <v>0</v>
      </c>
      <c r="AU150" s="3"/>
      <c r="AV150" s="35">
        <f>HLOOKUP(AV$116+40,Kostengegevens!$AK$74:$BN$135,Stappen!$AA150,FALSE)</f>
        <v>0</v>
      </c>
      <c r="AW150" s="35">
        <f>HLOOKUP(AW$116+40,Kostengegevens!$AK$74:$BN$135,Stappen!$AA150,FALSE)</f>
        <v>0</v>
      </c>
      <c r="AX150" s="35">
        <f>HLOOKUP(AX$116+40,Kostengegevens!$AK$74:$BN$135,Stappen!$AA150,FALSE)</f>
        <v>0</v>
      </c>
      <c r="AY150" s="35">
        <f>HLOOKUP(AY$116+40,Kostengegevens!$AK$74:$BN$135,Stappen!$AA150,FALSE)</f>
        <v>0</v>
      </c>
      <c r="AZ150" s="3"/>
      <c r="BA150" s="35">
        <f>HLOOKUP(BA$116+50,Kostengegevens!$AK$74:$BN$135,Stappen!$AA150,FALSE)</f>
        <v>0</v>
      </c>
      <c r="BB150" s="35">
        <f>HLOOKUP(BB$116+50,Kostengegevens!$AK$74:$BN$135,Stappen!$AA150,FALSE)</f>
        <v>0</v>
      </c>
      <c r="BC150" s="35">
        <f>HLOOKUP(BC$116+50,Kostengegevens!$AK$74:$BN$135,Stappen!$AA150,FALSE)</f>
        <v>0</v>
      </c>
      <c r="BD150" s="35">
        <f>HLOOKUP(BD$116+50,Kostengegevens!$AK$74:$BN$135,Stappen!$AA150,FALSE)</f>
        <v>0</v>
      </c>
      <c r="BE150" s="3"/>
      <c r="BH150" s="57">
        <v>35</v>
      </c>
      <c r="BI150" s="53"/>
      <c r="BJ150" s="56"/>
      <c r="BK150" s="47"/>
      <c r="BL150" s="102"/>
      <c r="BM150" s="102"/>
      <c r="BN150" s="102"/>
      <c r="BO150" s="102"/>
      <c r="BP150" s="102"/>
      <c r="CA150" s="501"/>
      <c r="CB150" s="502"/>
      <c r="CC150" s="504"/>
      <c r="CD150" s="505"/>
      <c r="CE150" s="459"/>
      <c r="CF150" s="460"/>
      <c r="CG150" s="501"/>
      <c r="CH150" s="502"/>
      <c r="CI150" s="504"/>
      <c r="CJ150" s="505"/>
      <c r="CK150" s="459"/>
      <c r="CL150" s="460"/>
      <c r="CM150" s="501"/>
      <c r="CN150" s="502"/>
      <c r="CO150" s="504"/>
      <c r="CP150" s="505"/>
      <c r="CQ150" s="459"/>
      <c r="CR150" s="460"/>
      <c r="CS150" s="501"/>
      <c r="CT150" s="502"/>
      <c r="CU150" s="504"/>
      <c r="CV150" s="505"/>
      <c r="CW150" s="459"/>
      <c r="CX150" s="460"/>
      <c r="CY150" s="501"/>
      <c r="CZ150" s="502"/>
      <c r="DA150" s="504"/>
      <c r="DB150" s="505"/>
      <c r="DC150" s="459"/>
      <c r="DD150" s="460"/>
    </row>
    <row r="151" spans="1:108" x14ac:dyDescent="0.2">
      <c r="A151" s="49"/>
      <c r="B151" s="33">
        <v>51</v>
      </c>
      <c r="C151" s="212" t="s">
        <v>313</v>
      </c>
      <c r="D151" s="503"/>
      <c r="E151" s="502"/>
      <c r="F151" s="426">
        <f t="shared" ref="F151:F154" si="178">BI151</f>
        <v>0</v>
      </c>
      <c r="G151" s="429">
        <f t="shared" ref="G151:G154" si="179">BJ151</f>
        <v>0</v>
      </c>
      <c r="H151" s="459" t="s">
        <v>22</v>
      </c>
      <c r="I151" s="460"/>
      <c r="J151" s="156">
        <f t="shared" ref="J151:J154" si="180">HLOOKUP($Z151,$AB$116:$AF$183,$AA151,FALSE)*$F151</f>
        <v>0</v>
      </c>
      <c r="K151" s="9">
        <f t="shared" si="90"/>
        <v>0</v>
      </c>
      <c r="L151" s="27">
        <f t="shared" si="91"/>
        <v>0</v>
      </c>
      <c r="M151" s="12">
        <f t="shared" si="92"/>
        <v>0</v>
      </c>
      <c r="N151" s="9">
        <f t="shared" si="93"/>
        <v>0</v>
      </c>
      <c r="O151" s="27">
        <f t="shared" si="94"/>
        <v>0</v>
      </c>
      <c r="T151" s="91" t="str">
        <f>CONCATENATE("ref: ",Referentieproject!T151)</f>
        <v>ref: 5 n.v.t.</v>
      </c>
      <c r="U151" s="263" t="s">
        <v>121</v>
      </c>
      <c r="V151" s="263" t="s">
        <v>106</v>
      </c>
      <c r="W151" s="263" t="s">
        <v>83</v>
      </c>
      <c r="X151" s="263" t="s">
        <v>84</v>
      </c>
      <c r="Y151" s="263" t="s">
        <v>62</v>
      </c>
      <c r="Z151" s="2">
        <f>IF(D231=T151,Referentieproject!Z151,IF(D231=U151,1,IF(D231=V151,2,IF(D231=W151,3,IF(D231=X151,4,5)))))</f>
        <v>5</v>
      </c>
      <c r="AA151" s="35">
        <f t="shared" si="95"/>
        <v>36</v>
      </c>
      <c r="AB151" s="35">
        <f>HLOOKUP(AB$116,Kostengegevens!$AK$74:$BN$135,Stappen!$AA151,FALSE)</f>
        <v>0</v>
      </c>
      <c r="AC151" s="35">
        <f>HLOOKUP(AC$116,Kostengegevens!$AK$74:$BN$135,Stappen!$AA151,FALSE)</f>
        <v>0</v>
      </c>
      <c r="AD151" s="35">
        <f>HLOOKUP(AD$116,Kostengegevens!$AK$74:$BN$135,Stappen!$AA151,FALSE)</f>
        <v>0</v>
      </c>
      <c r="AE151" s="35">
        <f>HLOOKUP(AE$116,Kostengegevens!$AK$74:$BN$135,Stappen!$AA151,FALSE)</f>
        <v>0</v>
      </c>
      <c r="AF151" s="3"/>
      <c r="AG151" s="35">
        <f>HLOOKUP(AG$116+10,Kostengegevens!$AK$74:$BN$135,Stappen!$AA151,FALSE)</f>
        <v>0</v>
      </c>
      <c r="AH151" s="35">
        <f>HLOOKUP(AH$116+10,Kostengegevens!$AK$74:$BN$135,Stappen!$AA151,FALSE)</f>
        <v>0</v>
      </c>
      <c r="AI151" s="35">
        <f>HLOOKUP(AI$116+10,Kostengegevens!$AK$74:$BN$135,Stappen!$AA151,FALSE)</f>
        <v>0</v>
      </c>
      <c r="AJ151" s="35">
        <f>HLOOKUP(AJ$116+10,Kostengegevens!$AK$74:$BN$135,Stappen!$AA151,FALSE)</f>
        <v>0</v>
      </c>
      <c r="AK151" s="3"/>
      <c r="AL151" s="35">
        <f>HLOOKUP(AL$116+20,Kostengegevens!$AK$74:$BN$135,Stappen!$AA151,FALSE)</f>
        <v>0</v>
      </c>
      <c r="AM151" s="35">
        <f>HLOOKUP(AM$116+20,Kostengegevens!$AK$74:$BN$135,Stappen!$AA151,FALSE)</f>
        <v>0</v>
      </c>
      <c r="AN151" s="35">
        <f>HLOOKUP(AN$116+20,Kostengegevens!$AK$74:$BN$135,Stappen!$AA151,FALSE)</f>
        <v>0</v>
      </c>
      <c r="AO151" s="35">
        <f>HLOOKUP(AO$116+20,Kostengegevens!$AK$74:$BN$135,Stappen!$AA151,FALSE)</f>
        <v>0</v>
      </c>
      <c r="AP151" s="3"/>
      <c r="AQ151" s="35">
        <f>HLOOKUP(AQ$116+30,Kostengegevens!$AK$74:$BN$135,Stappen!$AA151,FALSE)</f>
        <v>0</v>
      </c>
      <c r="AR151" s="35">
        <f>HLOOKUP(AR$116+30,Kostengegevens!$AK$74:$BN$135,Stappen!$AA151,FALSE)</f>
        <v>0</v>
      </c>
      <c r="AS151" s="35">
        <f>HLOOKUP(AS$116+30,Kostengegevens!$AK$74:$BN$135,Stappen!$AA151,FALSE)</f>
        <v>0</v>
      </c>
      <c r="AT151" s="35">
        <f>HLOOKUP(AT$116+30,Kostengegevens!$AK$74:$BN$135,Stappen!$AA151,FALSE)</f>
        <v>0</v>
      </c>
      <c r="AU151" s="3"/>
      <c r="AV151" s="35">
        <f>HLOOKUP(AV$116+40,Kostengegevens!$AK$74:$BN$135,Stappen!$AA151,FALSE)</f>
        <v>0</v>
      </c>
      <c r="AW151" s="35">
        <f>HLOOKUP(AW$116+40,Kostengegevens!$AK$74:$BN$135,Stappen!$AA151,FALSE)</f>
        <v>0</v>
      </c>
      <c r="AX151" s="35">
        <f>HLOOKUP(AX$116+40,Kostengegevens!$AK$74:$BN$135,Stappen!$AA151,FALSE)</f>
        <v>0</v>
      </c>
      <c r="AY151" s="35">
        <f>HLOOKUP(AY$116+40,Kostengegevens!$AK$74:$BN$135,Stappen!$AA151,FALSE)</f>
        <v>0</v>
      </c>
      <c r="AZ151" s="3"/>
      <c r="BA151" s="35">
        <f>HLOOKUP(BA$116+50,Kostengegevens!$AK$74:$BN$135,Stappen!$AA151,FALSE)</f>
        <v>0</v>
      </c>
      <c r="BB151" s="35">
        <f>HLOOKUP(BB$116+50,Kostengegevens!$AK$74:$BN$135,Stappen!$AA151,FALSE)</f>
        <v>0</v>
      </c>
      <c r="BC151" s="35">
        <f>HLOOKUP(BC$116+50,Kostengegevens!$AK$74:$BN$135,Stappen!$AA151,FALSE)</f>
        <v>0</v>
      </c>
      <c r="BD151" s="35">
        <f>HLOOKUP(BD$116+50,Kostengegevens!$AK$74:$BN$135,Stappen!$AA151,FALSE)</f>
        <v>0</v>
      </c>
      <c r="BE151" s="3"/>
      <c r="BG151" s="2">
        <v>11</v>
      </c>
      <c r="BH151" s="57">
        <v>36</v>
      </c>
      <c r="BI151" s="35">
        <f>BJ151/BJ$34*BI$34</f>
        <v>0</v>
      </c>
      <c r="BJ151" s="56">
        <f>HLOOKUP(BJ$116,$BL$116:$BP$178,BH151,FALSE)*VLOOKUP($BG151,$BH$24:$BJ$46,3,FALSE)</f>
        <v>0</v>
      </c>
      <c r="BK151" s="47" t="s">
        <v>22</v>
      </c>
      <c r="BL151" s="102">
        <v>0</v>
      </c>
      <c r="BM151" s="102">
        <v>0</v>
      </c>
      <c r="BN151" s="102">
        <v>0</v>
      </c>
      <c r="BO151" s="102">
        <v>0</v>
      </c>
      <c r="BP151" s="102">
        <v>0</v>
      </c>
      <c r="BR151" s="2">
        <v>1</v>
      </c>
      <c r="BS151" s="2">
        <v>1</v>
      </c>
      <c r="BT151" s="2">
        <v>1</v>
      </c>
      <c r="BU151" s="2">
        <v>1</v>
      </c>
      <c r="CA151" s="503"/>
      <c r="CB151" s="502"/>
      <c r="CC151" s="426">
        <f t="shared" ref="CC151:CC154" si="181">EF151</f>
        <v>0</v>
      </c>
      <c r="CD151" s="429">
        <f t="shared" ref="CD151:CD154" si="182">EG151</f>
        <v>0</v>
      </c>
      <c r="CE151" s="459" t="s">
        <v>22</v>
      </c>
      <c r="CF151" s="460"/>
      <c r="CG151" s="503"/>
      <c r="CH151" s="502"/>
      <c r="CI151" s="426">
        <f t="shared" ref="CI151:CI154" si="183">EL151</f>
        <v>0</v>
      </c>
      <c r="CJ151" s="429">
        <f t="shared" ref="CJ151:CJ154" si="184">EM151</f>
        <v>0</v>
      </c>
      <c r="CK151" s="459" t="s">
        <v>22</v>
      </c>
      <c r="CL151" s="460"/>
      <c r="CM151" s="503"/>
      <c r="CN151" s="502"/>
      <c r="CO151" s="426">
        <f t="shared" ref="CO151:CO154" si="185">ER151</f>
        <v>0</v>
      </c>
      <c r="CP151" s="429">
        <f t="shared" ref="CP151:CP154" si="186">ES151</f>
        <v>0</v>
      </c>
      <c r="CQ151" s="459" t="s">
        <v>22</v>
      </c>
      <c r="CR151" s="460"/>
      <c r="CS151" s="503"/>
      <c r="CT151" s="502"/>
      <c r="CU151" s="426">
        <f t="shared" ref="CU151:CU154" si="187">EX151</f>
        <v>0</v>
      </c>
      <c r="CV151" s="429">
        <f t="shared" ref="CV151:CV154" si="188">EY151</f>
        <v>0</v>
      </c>
      <c r="CW151" s="459" t="s">
        <v>22</v>
      </c>
      <c r="CX151" s="460"/>
      <c r="CY151" s="503"/>
      <c r="CZ151" s="502"/>
      <c r="DA151" s="426"/>
      <c r="DB151" s="429"/>
      <c r="DC151" s="459"/>
      <c r="DD151" s="460"/>
    </row>
    <row r="152" spans="1:108" x14ac:dyDescent="0.2">
      <c r="A152" s="49"/>
      <c r="B152" s="33">
        <v>52</v>
      </c>
      <c r="C152" s="212" t="s">
        <v>314</v>
      </c>
      <c r="D152" s="503"/>
      <c r="E152" s="502"/>
      <c r="F152" s="426">
        <f t="shared" si="178"/>
        <v>150</v>
      </c>
      <c r="G152" s="429">
        <f t="shared" si="179"/>
        <v>150</v>
      </c>
      <c r="H152" s="459" t="s">
        <v>22</v>
      </c>
      <c r="I152" s="460"/>
      <c r="J152" s="156">
        <f t="shared" si="180"/>
        <v>1342.0327500008625</v>
      </c>
      <c r="K152" s="9">
        <f t="shared" si="90"/>
        <v>132.17925000026298</v>
      </c>
      <c r="L152" s="27">
        <f t="shared" si="91"/>
        <v>298.86824999857708</v>
      </c>
      <c r="M152" s="12">
        <f t="shared" si="92"/>
        <v>5983.2142499953989</v>
      </c>
      <c r="N152" s="9">
        <f t="shared" si="93"/>
        <v>41.595375000019885</v>
      </c>
      <c r="O152" s="27">
        <f t="shared" si="94"/>
        <v>64.792972500566748</v>
      </c>
      <c r="T152" s="91" t="str">
        <f>CONCATENATE("ref: ",Referentieproject!T152)</f>
        <v>ref: 1 woningbouw</v>
      </c>
      <c r="U152" s="263" t="s">
        <v>68</v>
      </c>
      <c r="V152" s="263" t="s">
        <v>118</v>
      </c>
      <c r="W152" s="263" t="s">
        <v>119</v>
      </c>
      <c r="X152" s="263" t="s">
        <v>120</v>
      </c>
      <c r="Y152" s="263" t="s">
        <v>62</v>
      </c>
      <c r="Z152" s="2">
        <f>IF(D232=T152,Referentieproject!Z152,IF(D232=U152,1,IF(D232=V152,2,IF(D232=W152,3,IF(D232=X152,4,5)))))</f>
        <v>1</v>
      </c>
      <c r="AA152" s="35">
        <f t="shared" si="95"/>
        <v>37</v>
      </c>
      <c r="AB152" s="35">
        <f>HLOOKUP(AB$116,Kostengegevens!$AK$74:$BN$135,Stappen!$AA152,FALSE)</f>
        <v>8.94688500000575</v>
      </c>
      <c r="AC152" s="35">
        <f>HLOOKUP(AC$116,Kostengegevens!$AK$74:$BN$135,Stappen!$AA152,FALSE)</f>
        <v>5.5374850000016522</v>
      </c>
      <c r="AD152" s="35">
        <f>HLOOKUP(AD$116,Kostengegevens!$AK$74:$BN$135,Stappen!$AA152,FALSE)</f>
        <v>5.5374850000016522</v>
      </c>
      <c r="AE152" s="35">
        <f>HLOOKUP(AE$116,Kostengegevens!$AK$74:$BN$135,Stappen!$AA152,FALSE)</f>
        <v>5.1911050000144314</v>
      </c>
      <c r="AF152" s="3"/>
      <c r="AG152" s="35">
        <f>HLOOKUP(AG$116+10,Kostengegevens!$AK$74:$BN$135,Stappen!$AA152,FALSE)</f>
        <v>0.88119500000175321</v>
      </c>
      <c r="AH152" s="35">
        <f>HLOOKUP(AH$116+10,Kostengegevens!$AK$74:$BN$135,Stappen!$AA152,FALSE)</f>
        <v>0.49559499999986656</v>
      </c>
      <c r="AI152" s="35">
        <f>HLOOKUP(AI$116+10,Kostengegevens!$AK$74:$BN$135,Stappen!$AA152,FALSE)</f>
        <v>0.49559499999986656</v>
      </c>
      <c r="AJ152" s="35">
        <f>HLOOKUP(AJ$116+10,Kostengegevens!$AK$74:$BN$135,Stappen!$AA152,FALSE)</f>
        <v>0.534015000000295</v>
      </c>
      <c r="AK152" s="3"/>
      <c r="AL152" s="35">
        <f>HLOOKUP(AL$116+20,Kostengegevens!$AK$74:$BN$135,Stappen!$AA152,FALSE)</f>
        <v>1.9924549999905139</v>
      </c>
      <c r="AM152" s="35">
        <f>HLOOKUP(AM$116+20,Kostengegevens!$AK$74:$BN$135,Stappen!$AA152,FALSE)</f>
        <v>1.0745549999974173</v>
      </c>
      <c r="AN152" s="35">
        <f>HLOOKUP(AN$116+20,Kostengegevens!$AK$74:$BN$135,Stappen!$AA152,FALSE)</f>
        <v>1.0745549999974173</v>
      </c>
      <c r="AO152" s="35">
        <f>HLOOKUP(AO$116+20,Kostengegevens!$AK$74:$BN$135,Stappen!$AA152,FALSE)</f>
        <v>1.3350849999878847</v>
      </c>
      <c r="AP152" s="3"/>
      <c r="AQ152" s="35">
        <f>HLOOKUP(AQ$116+30,Kostengegevens!$AK$74:$BN$135,Stappen!$AA152,FALSE)</f>
        <v>39.888094999969326</v>
      </c>
      <c r="AR152" s="35">
        <f>HLOOKUP(AR$116+30,Kostengegevens!$AK$74:$BN$135,Stappen!$AA152,FALSE)</f>
        <v>23.165114999999787</v>
      </c>
      <c r="AS152" s="35">
        <f>HLOOKUP(AS$116+30,Kostengegevens!$AK$74:$BN$135,Stappen!$AA152,FALSE)</f>
        <v>23.165114999999787</v>
      </c>
      <c r="AT152" s="35">
        <f>HLOOKUP(AT$116+30,Kostengegevens!$AK$74:$BN$135,Stappen!$AA152,FALSE)</f>
        <v>28.686119999987568</v>
      </c>
      <c r="AU152" s="3"/>
      <c r="AV152" s="35">
        <f>HLOOKUP(AV$116+40,Kostengegevens!$AK$74:$BN$135,Stappen!$AA152,FALSE)</f>
        <v>0.27730250000013257</v>
      </c>
      <c r="AW152" s="35">
        <f>HLOOKUP(AW$116+40,Kostengegevens!$AK$74:$BN$135,Stappen!$AA152,FALSE)</f>
        <v>0.10451750000049742</v>
      </c>
      <c r="AX152" s="35">
        <f>HLOOKUP(AX$116+40,Kostengegevens!$AK$74:$BN$135,Stappen!$AA152,FALSE)</f>
        <v>0.10451750000049742</v>
      </c>
      <c r="AY152" s="35">
        <f>HLOOKUP(AY$116+40,Kostengegevens!$AK$74:$BN$135,Stappen!$AA152,FALSE)</f>
        <v>0.12431499999979678</v>
      </c>
      <c r="AZ152" s="3"/>
      <c r="BA152" s="35">
        <f>HLOOKUP(BA$116+50,Kostengegevens!$AK$74:$BN$135,Stappen!$AA152,FALSE)</f>
        <v>0.43195315000377832</v>
      </c>
      <c r="BB152" s="35">
        <f>HLOOKUP(BB$116+50,Kostengegevens!$AK$74:$BN$135,Stappen!$AA152,FALSE)</f>
        <v>0.23495534999955225</v>
      </c>
      <c r="BC152" s="35">
        <f>HLOOKUP(BC$116+50,Kostengegevens!$AK$74:$BN$135,Stappen!$AA152,FALSE)</f>
        <v>0.23495534999955225</v>
      </c>
      <c r="BD152" s="35">
        <f>HLOOKUP(BD$116+50,Kostengegevens!$AK$74:$BN$135,Stappen!$AA152,FALSE)</f>
        <v>0.20453000000139809</v>
      </c>
      <c r="BE152" s="3"/>
      <c r="BG152" s="2">
        <v>11</v>
      </c>
      <c r="BH152" s="57">
        <v>37</v>
      </c>
      <c r="BI152" s="35">
        <f>BJ152/BJ$34*BI$34</f>
        <v>150</v>
      </c>
      <c r="BJ152" s="56">
        <f>HLOOKUP(BJ$116,$BL$116:$BP$178,BH152,FALSE)*VLOOKUP($BG152,$BH$24:$BJ$46,3,FALSE)</f>
        <v>150</v>
      </c>
      <c r="BK152" s="47" t="s">
        <v>22</v>
      </c>
      <c r="BL152" s="102">
        <v>1</v>
      </c>
      <c r="BM152" s="102">
        <v>1</v>
      </c>
      <c r="BN152" s="102">
        <v>1</v>
      </c>
      <c r="BO152" s="102">
        <v>1</v>
      </c>
      <c r="BP152" s="102">
        <v>1</v>
      </c>
      <c r="BR152" s="2">
        <v>1</v>
      </c>
      <c r="BS152" s="2">
        <v>1</v>
      </c>
      <c r="BT152" s="2">
        <v>2</v>
      </c>
      <c r="BU152" s="2">
        <v>2</v>
      </c>
      <c r="CA152" s="503"/>
      <c r="CB152" s="502"/>
      <c r="CC152" s="426">
        <f t="shared" si="181"/>
        <v>0</v>
      </c>
      <c r="CD152" s="429">
        <f t="shared" si="182"/>
        <v>0</v>
      </c>
      <c r="CE152" s="459" t="s">
        <v>22</v>
      </c>
      <c r="CF152" s="460"/>
      <c r="CG152" s="503"/>
      <c r="CH152" s="502"/>
      <c r="CI152" s="426">
        <f t="shared" si="183"/>
        <v>0</v>
      </c>
      <c r="CJ152" s="429">
        <f t="shared" si="184"/>
        <v>0</v>
      </c>
      <c r="CK152" s="459" t="s">
        <v>22</v>
      </c>
      <c r="CL152" s="460"/>
      <c r="CM152" s="503"/>
      <c r="CN152" s="502"/>
      <c r="CO152" s="426">
        <f t="shared" si="185"/>
        <v>0</v>
      </c>
      <c r="CP152" s="429">
        <f t="shared" si="186"/>
        <v>0</v>
      </c>
      <c r="CQ152" s="459" t="s">
        <v>22</v>
      </c>
      <c r="CR152" s="460"/>
      <c r="CS152" s="503"/>
      <c r="CT152" s="502"/>
      <c r="CU152" s="426">
        <f t="shared" si="187"/>
        <v>0</v>
      </c>
      <c r="CV152" s="429">
        <f t="shared" si="188"/>
        <v>0</v>
      </c>
      <c r="CW152" s="459" t="s">
        <v>22</v>
      </c>
      <c r="CX152" s="460"/>
      <c r="CY152" s="503"/>
      <c r="CZ152" s="502"/>
      <c r="DA152" s="426"/>
      <c r="DB152" s="429"/>
      <c r="DC152" s="459"/>
      <c r="DD152" s="460"/>
    </row>
    <row r="153" spans="1:108" x14ac:dyDescent="0.2">
      <c r="A153" s="49"/>
      <c r="B153" s="33">
        <v>53</v>
      </c>
      <c r="C153" s="212" t="s">
        <v>315</v>
      </c>
      <c r="D153" s="503"/>
      <c r="E153" s="502"/>
      <c r="F153" s="426">
        <f t="shared" si="178"/>
        <v>150</v>
      </c>
      <c r="G153" s="429">
        <f t="shared" si="179"/>
        <v>150</v>
      </c>
      <c r="H153" s="459" t="s">
        <v>22</v>
      </c>
      <c r="I153" s="460"/>
      <c r="J153" s="156">
        <f t="shared" si="180"/>
        <v>2417.2552500013353</v>
      </c>
      <c r="K153" s="9">
        <f t="shared" si="90"/>
        <v>272.31225000111294</v>
      </c>
      <c r="L153" s="27">
        <f t="shared" si="91"/>
        <v>301.48350000085884</v>
      </c>
      <c r="M153" s="12">
        <f t="shared" si="92"/>
        <v>6156.8145000161167</v>
      </c>
      <c r="N153" s="9">
        <f t="shared" si="93"/>
        <v>60.134250000663769</v>
      </c>
      <c r="O153" s="27">
        <f t="shared" si="94"/>
        <v>700.91429250049373</v>
      </c>
      <c r="T153" s="91" t="str">
        <f>CONCATENATE("ref: ",Referentieproject!T153)</f>
        <v>ref: 1 woningbouw</v>
      </c>
      <c r="U153" s="263" t="s">
        <v>68</v>
      </c>
      <c r="V153" s="263" t="s">
        <v>118</v>
      </c>
      <c r="W153" s="263" t="s">
        <v>119</v>
      </c>
      <c r="X153" s="263" t="s">
        <v>120</v>
      </c>
      <c r="Y153" s="263" t="s">
        <v>62</v>
      </c>
      <c r="Z153" s="2">
        <f>IF(D233=T153,Referentieproject!Z153,IF(D233=U153,1,IF(D233=V153,2,IF(D233=W153,3,IF(D233=X153,4,5)))))</f>
        <v>1</v>
      </c>
      <c r="AA153" s="35">
        <f t="shared" si="95"/>
        <v>38</v>
      </c>
      <c r="AB153" s="42">
        <f>HLOOKUP(AB$116,Kostengegevens!$AK$74:$BN$135,Stappen!$AA153,FALSE)+AB88+AB89</f>
        <v>16.115035000008902</v>
      </c>
      <c r="AC153" s="42">
        <f>HLOOKUP(AC$116,Kostengegevens!$AK$74:$BN$135,Stappen!$AA153,FALSE)+AC88+AC89</f>
        <v>6.0023849999975027</v>
      </c>
      <c r="AD153" s="42">
        <f>HLOOKUP(AD$116,Kostengegevens!$AK$74:$BN$135,Stappen!$AA153,FALSE)+AD88+AD89</f>
        <v>6.0023849999975027</v>
      </c>
      <c r="AE153" s="42">
        <f>HLOOKUP(AE$116,Kostengegevens!$AK$74:$BN$135,Stappen!$AA153,FALSE)+AE88+AE89</f>
        <v>2.430169999993268</v>
      </c>
      <c r="AF153" s="3"/>
      <c r="AG153" s="42">
        <f>HLOOKUP(AG$116+10,Kostengegevens!$AK$74:$BN$135,Stappen!$AA153,FALSE)+AG88+AG89</f>
        <v>1.8154150000074196</v>
      </c>
      <c r="AH153" s="42">
        <f>HLOOKUP(AH$116+10,Kostengegevens!$AK$74:$BN$135,Stappen!$AA153,FALSE)+AH88+AH89</f>
        <v>0.82047500000237505</v>
      </c>
      <c r="AI153" s="42">
        <f>HLOOKUP(AI$116+10,Kostengegevens!$AK$74:$BN$135,Stappen!$AA153,FALSE)+AI88+AI89</f>
        <v>0.82047500000237505</v>
      </c>
      <c r="AJ153" s="42">
        <f>HLOOKUP(AJ$116+10,Kostengegevens!$AK$74:$BN$135,Stappen!$AA153,FALSE)+AJ88+AJ89</f>
        <v>0.31235000000128821</v>
      </c>
      <c r="AK153" s="3"/>
      <c r="AL153" s="42">
        <f>HLOOKUP(AL$116+20,Kostengegevens!$AK$74:$BN$135,Stappen!$AA153,FALSE)+AL88+AL89</f>
        <v>2.0098900000057256</v>
      </c>
      <c r="AM153" s="42">
        <f>HLOOKUP(AM$116+20,Kostengegevens!$AK$74:$BN$135,Stappen!$AA153,FALSE)+AM88+AM89</f>
        <v>1.1847549999888543</v>
      </c>
      <c r="AN153" s="42">
        <f>HLOOKUP(AN$116+20,Kostengegevens!$AK$74:$BN$135,Stappen!$AA153,FALSE)+AN88+AN89</f>
        <v>1.1847549999883995</v>
      </c>
      <c r="AO153" s="42">
        <f>HLOOKUP(AO$116+20,Kostengegevens!$AK$74:$BN$135,Stappen!$AA153,FALSE)+AO88+AO89</f>
        <v>0.32405499999822496</v>
      </c>
      <c r="AP153" s="3"/>
      <c r="AQ153" s="42">
        <f>HLOOKUP(AQ$116+30,Kostengegevens!$AK$74:$BN$135,Stappen!$AA153,FALSE)+AQ88+AQ89</f>
        <v>41.045430000107444</v>
      </c>
      <c r="AR153" s="42">
        <f>HLOOKUP(AR$116+30,Kostengegevens!$AK$74:$BN$135,Stappen!$AA153,FALSE)+AR88+AR89</f>
        <v>21.843490000101156</v>
      </c>
      <c r="AS153" s="42">
        <f>HLOOKUP(AS$116+30,Kostengegevens!$AK$74:$BN$135,Stappen!$AA153,FALSE)+AS88+AS89</f>
        <v>21.843490000101156</v>
      </c>
      <c r="AT153" s="42">
        <f>HLOOKUP(AT$116+30,Kostengegevens!$AK$74:$BN$135,Stappen!$AA153,FALSE)+AT88+AT89</f>
        <v>5.5123349999921629</v>
      </c>
      <c r="AU153" s="3"/>
      <c r="AV153" s="42">
        <f>HLOOKUP(AV$116+40,Kostengegevens!$AK$74:$BN$135,Stappen!$AA153,FALSE)+AV88+AV89</f>
        <v>0.40089500000442513</v>
      </c>
      <c r="AW153" s="42">
        <f>HLOOKUP(AW$116+40,Kostengegevens!$AK$74:$BN$135,Stappen!$AA153,FALSE)+AW88+AW89</f>
        <v>0.18994500000155767</v>
      </c>
      <c r="AX153" s="42">
        <f>HLOOKUP(AX$116+40,Kostengegevens!$AK$74:$BN$135,Stappen!$AA153,FALSE)+AX88+AX89</f>
        <v>0.18994500000155767</v>
      </c>
      <c r="AY153" s="42">
        <f>HLOOKUP(AY$116+40,Kostengegevens!$AK$74:$BN$135,Stappen!$AA153,FALSE)+AY88+AY89</f>
        <v>6.8399999999769534E-2</v>
      </c>
      <c r="AZ153" s="3"/>
      <c r="BA153" s="42">
        <f>HLOOKUP(BA$116+50,Kostengegevens!$AK$74:$BN$135,Stappen!$AA153,FALSE)+BA88+BA89</f>
        <v>4.6727619500032915</v>
      </c>
      <c r="BB153" s="42">
        <f>HLOOKUP(BB$116+50,Kostengegevens!$AK$74:$BN$135,Stappen!$AA153,FALSE)+BB88+BB89</f>
        <v>1.7587316000009423</v>
      </c>
      <c r="BC153" s="42">
        <f>HLOOKUP(BC$116+50,Kostengegevens!$AK$74:$BN$135,Stappen!$AA153,FALSE)+BC88+BC89</f>
        <v>1.7587316000009423</v>
      </c>
      <c r="BD153" s="42">
        <f>HLOOKUP(BD$116+50,Kostengegevens!$AK$74:$BN$135,Stappen!$AA153,FALSE)+BD88+BD89</f>
        <v>0.88395624999969868</v>
      </c>
      <c r="BE153" s="3"/>
      <c r="BG153" s="2">
        <v>11</v>
      </c>
      <c r="BH153" s="57">
        <v>38</v>
      </c>
      <c r="BI153" s="35">
        <f>BJ153/BJ$34*BI$34</f>
        <v>150</v>
      </c>
      <c r="BJ153" s="56">
        <f>HLOOKUP(BJ$116,$BL$116:$BP$178,BH153,FALSE)*VLOOKUP($BG153,$BH$24:$BJ$46,3,FALSE)</f>
        <v>150</v>
      </c>
      <c r="BK153" s="47" t="s">
        <v>22</v>
      </c>
      <c r="BL153" s="102">
        <v>1</v>
      </c>
      <c r="BM153" s="102">
        <v>1</v>
      </c>
      <c r="BN153" s="102">
        <v>1</v>
      </c>
      <c r="BO153" s="102">
        <v>1</v>
      </c>
      <c r="BP153" s="102">
        <v>1</v>
      </c>
      <c r="BR153" s="2">
        <v>1</v>
      </c>
      <c r="BS153" s="2">
        <v>1</v>
      </c>
      <c r="BT153" s="2">
        <v>2</v>
      </c>
      <c r="BU153" s="2">
        <v>2</v>
      </c>
      <c r="CA153" s="503"/>
      <c r="CB153" s="502"/>
      <c r="CC153" s="426">
        <f t="shared" si="181"/>
        <v>0</v>
      </c>
      <c r="CD153" s="429">
        <f t="shared" si="182"/>
        <v>0</v>
      </c>
      <c r="CE153" s="459" t="s">
        <v>22</v>
      </c>
      <c r="CF153" s="460"/>
      <c r="CG153" s="503"/>
      <c r="CH153" s="502"/>
      <c r="CI153" s="426">
        <f t="shared" si="183"/>
        <v>0</v>
      </c>
      <c r="CJ153" s="429">
        <f t="shared" si="184"/>
        <v>0</v>
      </c>
      <c r="CK153" s="459" t="s">
        <v>22</v>
      </c>
      <c r="CL153" s="460"/>
      <c r="CM153" s="503"/>
      <c r="CN153" s="502"/>
      <c r="CO153" s="426">
        <f t="shared" si="185"/>
        <v>0</v>
      </c>
      <c r="CP153" s="429">
        <f t="shared" si="186"/>
        <v>0</v>
      </c>
      <c r="CQ153" s="459" t="s">
        <v>22</v>
      </c>
      <c r="CR153" s="460"/>
      <c r="CS153" s="503"/>
      <c r="CT153" s="502"/>
      <c r="CU153" s="426">
        <f t="shared" si="187"/>
        <v>0</v>
      </c>
      <c r="CV153" s="429">
        <f t="shared" si="188"/>
        <v>0</v>
      </c>
      <c r="CW153" s="459" t="s">
        <v>22</v>
      </c>
      <c r="CX153" s="460"/>
      <c r="CY153" s="503"/>
      <c r="CZ153" s="502"/>
      <c r="DA153" s="426"/>
      <c r="DB153" s="429"/>
      <c r="DC153" s="459"/>
      <c r="DD153" s="460"/>
    </row>
    <row r="154" spans="1:108" x14ac:dyDescent="0.2">
      <c r="A154" s="49"/>
      <c r="B154" s="33">
        <v>54</v>
      </c>
      <c r="C154" s="212" t="s">
        <v>316</v>
      </c>
      <c r="D154" s="503"/>
      <c r="E154" s="502"/>
      <c r="F154" s="426">
        <f t="shared" si="178"/>
        <v>150</v>
      </c>
      <c r="G154" s="429">
        <f t="shared" si="179"/>
        <v>150</v>
      </c>
      <c r="H154" s="459" t="s">
        <v>22</v>
      </c>
      <c r="I154" s="460"/>
      <c r="J154" s="156">
        <f t="shared" si="180"/>
        <v>385.31024999867896</v>
      </c>
      <c r="K154" s="9">
        <f t="shared" si="90"/>
        <v>21.904500000067628</v>
      </c>
      <c r="L154" s="27">
        <f t="shared" si="91"/>
        <v>55.020750000085172</v>
      </c>
      <c r="M154" s="12">
        <f t="shared" si="92"/>
        <v>842.40674999546172</v>
      </c>
      <c r="N154" s="9">
        <f t="shared" si="93"/>
        <v>5.1157499999931133</v>
      </c>
      <c r="O154" s="27">
        <f t="shared" si="94"/>
        <v>4.0117500000519613</v>
      </c>
      <c r="T154" s="91" t="str">
        <f>CONCATENATE("ref: ",Referentieproject!T154)</f>
        <v>ref: 1 woningbouw</v>
      </c>
      <c r="U154" s="263" t="s">
        <v>68</v>
      </c>
      <c r="V154" s="263" t="s">
        <v>118</v>
      </c>
      <c r="W154" s="263" t="s">
        <v>119</v>
      </c>
      <c r="X154" s="263" t="s">
        <v>120</v>
      </c>
      <c r="Y154" s="263" t="s">
        <v>62</v>
      </c>
      <c r="Z154" s="2">
        <f>IF(D234=T154,Referentieproject!Z154,IF(D234=U154,1,IF(D234=V154,2,IF(D234=W154,3,IF(D234=X154,4,5)))))</f>
        <v>1</v>
      </c>
      <c r="AA154" s="35">
        <f t="shared" si="95"/>
        <v>39</v>
      </c>
      <c r="AB154" s="35">
        <f>HLOOKUP(AB$116,Kostengegevens!$AK$74:$BN$135,Stappen!$AA154,FALSE)</f>
        <v>2.568734999991193</v>
      </c>
      <c r="AC154" s="35">
        <f>HLOOKUP(AC$116,Kostengegevens!$AK$74:$BN$135,Stappen!$AA154,FALSE)</f>
        <v>1.3316350000004604</v>
      </c>
      <c r="AD154" s="35">
        <f>HLOOKUP(AD$116,Kostengegevens!$AK$74:$BN$135,Stappen!$AA154,FALSE)</f>
        <v>1.3316350000004604</v>
      </c>
      <c r="AE154" s="35">
        <f>HLOOKUP(AE$116,Kostengegevens!$AK$74:$BN$135,Stappen!$AA154,FALSE)</f>
        <v>0.46760999999651176</v>
      </c>
      <c r="AF154" s="3"/>
      <c r="AG154" s="35">
        <f>HLOOKUP(AG$116+10,Kostengegevens!$AK$74:$BN$135,Stappen!$AA154,FALSE)</f>
        <v>0.14603000000045085</v>
      </c>
      <c r="AH154" s="35">
        <f>HLOOKUP(AH$116+10,Kostengegevens!$AK$74:$BN$135,Stappen!$AA154,FALSE)</f>
        <v>6.5519999999992251E-2</v>
      </c>
      <c r="AI154" s="35">
        <f>HLOOKUP(AI$116+10,Kostengegevens!$AK$74:$BN$135,Stappen!$AA154,FALSE)</f>
        <v>6.5519999999992251E-2</v>
      </c>
      <c r="AJ154" s="35">
        <f>HLOOKUP(AJ$116+10,Kostengegevens!$AK$74:$BN$135,Stappen!$AA154,FALSE)</f>
        <v>3.0875000000037289E-2</v>
      </c>
      <c r="AK154" s="3"/>
      <c r="AL154" s="35">
        <f>HLOOKUP(AL$116+20,Kostengegevens!$AK$74:$BN$135,Stappen!$AA154,FALSE)</f>
        <v>0.36680500000056782</v>
      </c>
      <c r="AM154" s="35">
        <f>HLOOKUP(AM$116+20,Kostengegevens!$AK$74:$BN$135,Stappen!$AA154,FALSE)</f>
        <v>0.16449500000157968</v>
      </c>
      <c r="AN154" s="35">
        <f>HLOOKUP(AN$116+20,Kostengegevens!$AK$74:$BN$135,Stappen!$AA154,FALSE)</f>
        <v>0.16449500000135231</v>
      </c>
      <c r="AO154" s="35">
        <f>HLOOKUP(AO$116+20,Kostengegevens!$AK$74:$BN$135,Stappen!$AA154,FALSE)</f>
        <v>7.8129999998509447E-2</v>
      </c>
      <c r="AP154" s="3"/>
      <c r="AQ154" s="35">
        <f>HLOOKUP(AQ$116+30,Kostengegevens!$AK$74:$BN$135,Stappen!$AA154,FALSE)</f>
        <v>5.6160449999697448</v>
      </c>
      <c r="AR154" s="35">
        <f>HLOOKUP(AR$116+30,Kostengegevens!$AK$74:$BN$135,Stappen!$AA154,FALSE)</f>
        <v>2.5183950000209734</v>
      </c>
      <c r="AS154" s="35">
        <f>HLOOKUP(AS$116+30,Kostengegevens!$AK$74:$BN$135,Stappen!$AA154,FALSE)</f>
        <v>2.5183950000209734</v>
      </c>
      <c r="AT154" s="35">
        <f>HLOOKUP(AT$116+30,Kostengegevens!$AK$74:$BN$135,Stappen!$AA154,FALSE)</f>
        <v>1.1922299999860115</v>
      </c>
      <c r="AU154" s="3"/>
      <c r="AV154" s="35">
        <f>HLOOKUP(AV$116+40,Kostengegevens!$AK$74:$BN$135,Stappen!$AA154,FALSE)</f>
        <v>3.4104999999954089E-2</v>
      </c>
      <c r="AW154" s="35">
        <f>HLOOKUP(AW$116+40,Kostengegevens!$AK$74:$BN$135,Stappen!$AA154,FALSE)</f>
        <v>1.5235000000188847E-2</v>
      </c>
      <c r="AX154" s="35">
        <f>HLOOKUP(AX$116+40,Kostengegevens!$AK$74:$BN$135,Stappen!$AA154,FALSE)</f>
        <v>1.5235000000188847E-2</v>
      </c>
      <c r="AY154" s="35">
        <f>HLOOKUP(AY$116+40,Kostengegevens!$AK$74:$BN$135,Stappen!$AA154,FALSE)</f>
        <v>7.3449999999866122E-3</v>
      </c>
      <c r="AZ154" s="3"/>
      <c r="BA154" s="35">
        <f>HLOOKUP(BA$116+50,Kostengegevens!$AK$74:$BN$135,Stappen!$AA154,FALSE)</f>
        <v>2.6745000000346408E-2</v>
      </c>
      <c r="BB154" s="35">
        <f>HLOOKUP(BB$116+50,Kostengegevens!$AK$74:$BN$135,Stappen!$AA154,FALSE)</f>
        <v>1.1934999999880347E-2</v>
      </c>
      <c r="BC154" s="35">
        <f>HLOOKUP(BC$116+50,Kostengegevens!$AK$74:$BN$135,Stappen!$AA154,FALSE)</f>
        <v>1.1934999999880347E-2</v>
      </c>
      <c r="BD154" s="35">
        <f>HLOOKUP(BD$116+50,Kostengegevens!$AK$74:$BN$135,Stappen!$AA154,FALSE)</f>
        <v>5.8500000001231456E-3</v>
      </c>
      <c r="BE154" s="3"/>
      <c r="BG154" s="2">
        <v>11</v>
      </c>
      <c r="BH154" s="57">
        <v>39</v>
      </c>
      <c r="BI154" s="35">
        <f>BJ154/BJ$34*BI$34</f>
        <v>150</v>
      </c>
      <c r="BJ154" s="56">
        <f>HLOOKUP(BJ$116,$BL$116:$BP$178,BH154,FALSE)*VLOOKUP($BG154,$BH$24:$BJ$46,3,FALSE)</f>
        <v>150</v>
      </c>
      <c r="BK154" s="47" t="s">
        <v>22</v>
      </c>
      <c r="BL154" s="102">
        <v>1</v>
      </c>
      <c r="BM154" s="102">
        <v>1</v>
      </c>
      <c r="BN154" s="102">
        <v>1</v>
      </c>
      <c r="BO154" s="102">
        <v>1</v>
      </c>
      <c r="BP154" s="102">
        <v>1</v>
      </c>
      <c r="BR154" s="2">
        <v>1</v>
      </c>
      <c r="BS154" s="2">
        <v>1</v>
      </c>
      <c r="BT154" s="2">
        <v>2</v>
      </c>
      <c r="BU154" s="2">
        <v>2</v>
      </c>
      <c r="CA154" s="503"/>
      <c r="CB154" s="502"/>
      <c r="CC154" s="426">
        <f t="shared" si="181"/>
        <v>0</v>
      </c>
      <c r="CD154" s="429">
        <f t="shared" si="182"/>
        <v>0</v>
      </c>
      <c r="CE154" s="459" t="s">
        <v>22</v>
      </c>
      <c r="CF154" s="460"/>
      <c r="CG154" s="503"/>
      <c r="CH154" s="502"/>
      <c r="CI154" s="426">
        <f t="shared" si="183"/>
        <v>0</v>
      </c>
      <c r="CJ154" s="429">
        <f t="shared" si="184"/>
        <v>0</v>
      </c>
      <c r="CK154" s="459" t="s">
        <v>22</v>
      </c>
      <c r="CL154" s="460"/>
      <c r="CM154" s="503"/>
      <c r="CN154" s="502"/>
      <c r="CO154" s="426">
        <f t="shared" si="185"/>
        <v>0</v>
      </c>
      <c r="CP154" s="429">
        <f t="shared" si="186"/>
        <v>0</v>
      </c>
      <c r="CQ154" s="459" t="s">
        <v>22</v>
      </c>
      <c r="CR154" s="460"/>
      <c r="CS154" s="503"/>
      <c r="CT154" s="502"/>
      <c r="CU154" s="426">
        <f t="shared" si="187"/>
        <v>0</v>
      </c>
      <c r="CV154" s="429">
        <f t="shared" si="188"/>
        <v>0</v>
      </c>
      <c r="CW154" s="459" t="s">
        <v>22</v>
      </c>
      <c r="CX154" s="460"/>
      <c r="CY154" s="503"/>
      <c r="CZ154" s="502"/>
      <c r="DA154" s="426"/>
      <c r="DB154" s="429"/>
      <c r="DC154" s="459"/>
      <c r="DD154" s="460"/>
    </row>
    <row r="155" spans="1:108" x14ac:dyDescent="0.2">
      <c r="A155" s="1" t="s">
        <v>172</v>
      </c>
      <c r="C155" s="211" t="s">
        <v>10</v>
      </c>
      <c r="D155" s="501"/>
      <c r="E155" s="502"/>
      <c r="F155" s="431"/>
      <c r="G155" s="429"/>
      <c r="H155" s="459"/>
      <c r="I155" s="460"/>
      <c r="J155" s="6"/>
      <c r="K155" s="9"/>
      <c r="L155" s="27"/>
      <c r="M155" s="12"/>
      <c r="N155" s="9"/>
      <c r="O155" s="27"/>
      <c r="P155" s="84"/>
      <c r="T155" s="91"/>
      <c r="U155" s="263"/>
      <c r="V155" s="263"/>
      <c r="W155" s="263"/>
      <c r="X155" s="263"/>
      <c r="Y155" s="263"/>
      <c r="AA155" s="35">
        <f t="shared" si="95"/>
        <v>40</v>
      </c>
      <c r="AB155" s="35">
        <f>HLOOKUP(AB$116,Kostengegevens!$AK$74:$BN$135,Stappen!$AA155,FALSE)</f>
        <v>0</v>
      </c>
      <c r="AC155" s="35">
        <f>HLOOKUP(AC$116,Kostengegevens!$AK$74:$BN$135,Stappen!$AA155,FALSE)</f>
        <v>0</v>
      </c>
      <c r="AD155" s="35">
        <f>HLOOKUP(AD$116,Kostengegevens!$AK$74:$BN$135,Stappen!$AA155,FALSE)</f>
        <v>0</v>
      </c>
      <c r="AE155" s="35">
        <f>HLOOKUP(AE$116,Kostengegevens!$AK$74:$BN$135,Stappen!$AA155,FALSE)</f>
        <v>0</v>
      </c>
      <c r="AF155" s="3"/>
      <c r="AG155" s="35">
        <f>HLOOKUP(AG$116+10,Kostengegevens!$AK$74:$BN$135,Stappen!$AA155,FALSE)</f>
        <v>0</v>
      </c>
      <c r="AH155" s="35">
        <f>HLOOKUP(AH$116+10,Kostengegevens!$AK$74:$BN$135,Stappen!$AA155,FALSE)</f>
        <v>0</v>
      </c>
      <c r="AI155" s="35">
        <f>HLOOKUP(AI$116+10,Kostengegevens!$AK$74:$BN$135,Stappen!$AA155,FALSE)</f>
        <v>0</v>
      </c>
      <c r="AJ155" s="35">
        <f>HLOOKUP(AJ$116+10,Kostengegevens!$AK$74:$BN$135,Stappen!$AA155,FALSE)</f>
        <v>0</v>
      </c>
      <c r="AK155" s="3"/>
      <c r="AL155" s="35">
        <f>HLOOKUP(AL$116+20,Kostengegevens!$AK$74:$BN$135,Stappen!$AA155,FALSE)</f>
        <v>0</v>
      </c>
      <c r="AM155" s="35">
        <f>HLOOKUP(AM$116+20,Kostengegevens!$AK$74:$BN$135,Stappen!$AA155,FALSE)</f>
        <v>0</v>
      </c>
      <c r="AN155" s="35">
        <f>HLOOKUP(AN$116+20,Kostengegevens!$AK$74:$BN$135,Stappen!$AA155,FALSE)</f>
        <v>0</v>
      </c>
      <c r="AO155" s="35">
        <f>HLOOKUP(AO$116+20,Kostengegevens!$AK$74:$BN$135,Stappen!$AA155,FALSE)</f>
        <v>0</v>
      </c>
      <c r="AP155" s="3"/>
      <c r="AQ155" s="35">
        <f>HLOOKUP(AQ$116+30,Kostengegevens!$AK$74:$BN$135,Stappen!$AA155,FALSE)</f>
        <v>0</v>
      </c>
      <c r="AR155" s="35">
        <f>HLOOKUP(AR$116+30,Kostengegevens!$AK$74:$BN$135,Stappen!$AA155,FALSE)</f>
        <v>0</v>
      </c>
      <c r="AS155" s="35">
        <f>HLOOKUP(AS$116+30,Kostengegevens!$AK$74:$BN$135,Stappen!$AA155,FALSE)</f>
        <v>0</v>
      </c>
      <c r="AT155" s="35">
        <f>HLOOKUP(AT$116+30,Kostengegevens!$AK$74:$BN$135,Stappen!$AA155,FALSE)</f>
        <v>0</v>
      </c>
      <c r="AU155" s="3"/>
      <c r="AV155" s="35">
        <f>HLOOKUP(AV$116+40,Kostengegevens!$AK$74:$BN$135,Stappen!$AA155,FALSE)</f>
        <v>0</v>
      </c>
      <c r="AW155" s="35">
        <f>HLOOKUP(AW$116+40,Kostengegevens!$AK$74:$BN$135,Stappen!$AA155,FALSE)</f>
        <v>0</v>
      </c>
      <c r="AX155" s="35">
        <f>HLOOKUP(AX$116+40,Kostengegevens!$AK$74:$BN$135,Stappen!$AA155,FALSE)</f>
        <v>0</v>
      </c>
      <c r="AY155" s="35">
        <f>HLOOKUP(AY$116+40,Kostengegevens!$AK$74:$BN$135,Stappen!$AA155,FALSE)</f>
        <v>0</v>
      </c>
      <c r="AZ155" s="3"/>
      <c r="BA155" s="35">
        <f>HLOOKUP(BA$116+50,Kostengegevens!$AK$74:$BN$135,Stappen!$AA155,FALSE)</f>
        <v>0</v>
      </c>
      <c r="BB155" s="35">
        <f>HLOOKUP(BB$116+50,Kostengegevens!$AK$74:$BN$135,Stappen!$AA155,FALSE)</f>
        <v>0</v>
      </c>
      <c r="BC155" s="35">
        <f>HLOOKUP(BC$116+50,Kostengegevens!$AK$74:$BN$135,Stappen!$AA155,FALSE)</f>
        <v>0</v>
      </c>
      <c r="BD155" s="35">
        <f>HLOOKUP(BD$116+50,Kostengegevens!$AK$74:$BN$135,Stappen!$AA155,FALSE)</f>
        <v>0</v>
      </c>
      <c r="BE155" s="3"/>
      <c r="BH155" s="57">
        <v>40</v>
      </c>
      <c r="BI155" s="53"/>
      <c r="BJ155" s="56"/>
      <c r="BK155" s="47"/>
      <c r="BL155" s="102"/>
      <c r="BM155" s="102"/>
      <c r="BN155" s="102"/>
      <c r="BO155" s="102"/>
      <c r="BP155" s="102"/>
      <c r="CA155" s="501"/>
      <c r="CB155" s="502"/>
      <c r="CC155" s="431"/>
      <c r="CD155" s="429"/>
      <c r="CE155" s="459"/>
      <c r="CF155" s="460"/>
      <c r="CG155" s="501"/>
      <c r="CH155" s="502"/>
      <c r="CI155" s="431"/>
      <c r="CJ155" s="429"/>
      <c r="CK155" s="459"/>
      <c r="CL155" s="460"/>
      <c r="CM155" s="501"/>
      <c r="CN155" s="502"/>
      <c r="CO155" s="431"/>
      <c r="CP155" s="429"/>
      <c r="CQ155" s="459"/>
      <c r="CR155" s="460"/>
      <c r="CS155" s="501"/>
      <c r="CT155" s="502"/>
      <c r="CU155" s="431"/>
      <c r="CV155" s="429"/>
      <c r="CW155" s="459"/>
      <c r="CX155" s="460"/>
      <c r="CY155" s="501"/>
      <c r="CZ155" s="502"/>
      <c r="DA155" s="431"/>
      <c r="DB155" s="429"/>
      <c r="DC155" s="459"/>
      <c r="DD155" s="460"/>
    </row>
    <row r="156" spans="1:108" x14ac:dyDescent="0.2">
      <c r="A156" s="49"/>
      <c r="B156" s="33">
        <v>55</v>
      </c>
      <c r="C156" s="212" t="s">
        <v>317</v>
      </c>
      <c r="D156" s="503"/>
      <c r="E156" s="502"/>
      <c r="F156" s="426">
        <f t="shared" ref="F156:F159" si="189">BI156</f>
        <v>0</v>
      </c>
      <c r="G156" s="429">
        <f t="shared" ref="G156:G159" si="190">BJ156</f>
        <v>0</v>
      </c>
      <c r="H156" s="459" t="s">
        <v>22</v>
      </c>
      <c r="I156" s="460"/>
      <c r="J156" s="156">
        <f t="shared" ref="J156:J159" si="191">HLOOKUP($Z156,$AB$116:$AF$183,$AA156,FALSE)*$F156</f>
        <v>0</v>
      </c>
      <c r="K156" s="9">
        <f t="shared" si="90"/>
        <v>0</v>
      </c>
      <c r="L156" s="27">
        <f t="shared" si="91"/>
        <v>0</v>
      </c>
      <c r="M156" s="12">
        <f t="shared" si="92"/>
        <v>0</v>
      </c>
      <c r="N156" s="9">
        <f t="shared" si="93"/>
        <v>0</v>
      </c>
      <c r="O156" s="27">
        <f t="shared" si="94"/>
        <v>0</v>
      </c>
      <c r="T156" s="91"/>
      <c r="Z156" s="2">
        <v>2</v>
      </c>
      <c r="AA156" s="35">
        <f t="shared" si="95"/>
        <v>41</v>
      </c>
      <c r="AB156" s="42"/>
      <c r="AC156" s="42">
        <f>AC86</f>
        <v>0</v>
      </c>
      <c r="AD156" s="42"/>
      <c r="AE156" s="42"/>
      <c r="AF156" s="3"/>
      <c r="AG156" s="42"/>
      <c r="AH156" s="42">
        <f>AH86</f>
        <v>0</v>
      </c>
      <c r="AI156" s="42"/>
      <c r="AJ156" s="42"/>
      <c r="AK156" s="3"/>
      <c r="AL156" s="42"/>
      <c r="AM156" s="42">
        <f>AM86</f>
        <v>0</v>
      </c>
      <c r="AN156" s="42"/>
      <c r="AO156" s="42"/>
      <c r="AP156" s="3"/>
      <c r="AQ156" s="42"/>
      <c r="AR156" s="42">
        <f>AR86</f>
        <v>0</v>
      </c>
      <c r="AS156" s="42"/>
      <c r="AT156" s="42"/>
      <c r="AU156" s="3"/>
      <c r="AV156" s="42"/>
      <c r="AW156" s="42">
        <f>AW86</f>
        <v>0</v>
      </c>
      <c r="AX156" s="42"/>
      <c r="AY156" s="42"/>
      <c r="AZ156" s="3"/>
      <c r="BA156" s="42"/>
      <c r="BB156" s="42">
        <f>BB86</f>
        <v>0</v>
      </c>
      <c r="BC156" s="42"/>
      <c r="BD156" s="42"/>
      <c r="BE156" s="3"/>
      <c r="BG156" s="2">
        <v>12</v>
      </c>
      <c r="BH156" s="57">
        <v>41</v>
      </c>
      <c r="BI156" s="35">
        <f>BJ156/BJ$35*BI$35</f>
        <v>0</v>
      </c>
      <c r="BJ156" s="56">
        <f>HLOOKUP(BJ$116,$BL$116:$BP$178,BH156,FALSE)*VLOOKUP($BG156,$BH$24:$BJ$46,3,FALSE)</f>
        <v>0</v>
      </c>
      <c r="BK156" s="47" t="s">
        <v>22</v>
      </c>
      <c r="BL156" s="102">
        <v>0</v>
      </c>
      <c r="BM156" s="102">
        <v>0</v>
      </c>
      <c r="BN156" s="102">
        <v>1</v>
      </c>
      <c r="BO156" s="102">
        <v>0</v>
      </c>
      <c r="BP156" s="102">
        <v>0</v>
      </c>
      <c r="BR156" s="2">
        <v>5</v>
      </c>
      <c r="BS156" s="2">
        <v>5</v>
      </c>
      <c r="BT156" s="2">
        <v>5</v>
      </c>
      <c r="BU156" s="2">
        <v>5</v>
      </c>
      <c r="CA156" s="503"/>
      <c r="CB156" s="502"/>
      <c r="CC156" s="426">
        <f t="shared" ref="CC156:CC159" si="192">EF156</f>
        <v>0</v>
      </c>
      <c r="CD156" s="429">
        <f t="shared" ref="CD156:CD159" si="193">EG156</f>
        <v>0</v>
      </c>
      <c r="CE156" s="459" t="s">
        <v>22</v>
      </c>
      <c r="CF156" s="460"/>
      <c r="CG156" s="503"/>
      <c r="CH156" s="502"/>
      <c r="CI156" s="426">
        <f t="shared" ref="CI156:CI159" si="194">EL156</f>
        <v>0</v>
      </c>
      <c r="CJ156" s="429">
        <f t="shared" ref="CJ156:CJ159" si="195">EM156</f>
        <v>0</v>
      </c>
      <c r="CK156" s="459" t="s">
        <v>22</v>
      </c>
      <c r="CL156" s="460"/>
      <c r="CM156" s="503"/>
      <c r="CN156" s="502"/>
      <c r="CO156" s="426">
        <f t="shared" ref="CO156:CO159" si="196">ER156</f>
        <v>0</v>
      </c>
      <c r="CP156" s="429">
        <f t="shared" ref="CP156:CP159" si="197">ES156</f>
        <v>0</v>
      </c>
      <c r="CQ156" s="459" t="s">
        <v>22</v>
      </c>
      <c r="CR156" s="460"/>
      <c r="CS156" s="503"/>
      <c r="CT156" s="502"/>
      <c r="CU156" s="426">
        <f t="shared" ref="CU156:CU159" si="198">EX156</f>
        <v>0</v>
      </c>
      <c r="CV156" s="429">
        <f t="shared" ref="CV156:CV159" si="199">EY156</f>
        <v>0</v>
      </c>
      <c r="CW156" s="459" t="s">
        <v>22</v>
      </c>
      <c r="CX156" s="460"/>
      <c r="CY156" s="503"/>
      <c r="CZ156" s="502"/>
      <c r="DA156" s="426"/>
      <c r="DB156" s="429"/>
      <c r="DC156" s="459"/>
      <c r="DD156" s="460"/>
    </row>
    <row r="157" spans="1:108" x14ac:dyDescent="0.2">
      <c r="A157" s="49"/>
      <c r="B157" s="33">
        <v>56</v>
      </c>
      <c r="C157" s="212" t="s">
        <v>318</v>
      </c>
      <c r="D157" s="503"/>
      <c r="E157" s="502"/>
      <c r="F157" s="426">
        <f t="shared" si="189"/>
        <v>150</v>
      </c>
      <c r="G157" s="429">
        <f t="shared" si="190"/>
        <v>150</v>
      </c>
      <c r="H157" s="459" t="s">
        <v>22</v>
      </c>
      <c r="I157" s="460"/>
      <c r="J157" s="156">
        <f t="shared" si="191"/>
        <v>7542</v>
      </c>
      <c r="K157" s="9">
        <f t="shared" si="90"/>
        <v>975.69609548753476</v>
      </c>
      <c r="L157" s="27">
        <f t="shared" si="91"/>
        <v>2548.2840661499213</v>
      </c>
      <c r="M157" s="12">
        <f t="shared" si="92"/>
        <v>38734.96793526761</v>
      </c>
      <c r="N157" s="9">
        <f t="shared" si="93"/>
        <v>265.99608773776146</v>
      </c>
      <c r="O157" s="27">
        <f t="shared" si="94"/>
        <v>907.82468962701557</v>
      </c>
      <c r="T157" s="91"/>
      <c r="V157" s="2" t="s">
        <v>454</v>
      </c>
      <c r="Z157" s="2">
        <v>2</v>
      </c>
      <c r="AA157" s="35">
        <f t="shared" si="95"/>
        <v>42</v>
      </c>
      <c r="AB157" s="42"/>
      <c r="AC157" s="42">
        <f>AC84+AC85</f>
        <v>50.28</v>
      </c>
      <c r="AD157" s="42"/>
      <c r="AE157" s="42"/>
      <c r="AF157" s="3"/>
      <c r="AG157" s="42"/>
      <c r="AH157" s="42">
        <f>AH84+AH85</f>
        <v>6.5046406365835647</v>
      </c>
      <c r="AI157" s="42"/>
      <c r="AJ157" s="42"/>
      <c r="AK157" s="3"/>
      <c r="AL157" s="42"/>
      <c r="AM157" s="42">
        <f>AM84+AM85</f>
        <v>16.988560440999475</v>
      </c>
      <c r="AN157" s="42"/>
      <c r="AO157" s="42"/>
      <c r="AP157" s="3"/>
      <c r="AQ157" s="42"/>
      <c r="AR157" s="42">
        <f>AR84+AR85</f>
        <v>258.23311956845072</v>
      </c>
      <c r="AS157" s="42"/>
      <c r="AT157" s="42"/>
      <c r="AU157" s="3"/>
      <c r="AV157" s="42"/>
      <c r="AW157" s="42">
        <f>AW84+AW85</f>
        <v>1.7733072515850763</v>
      </c>
      <c r="AX157" s="42"/>
      <c r="AY157" s="42"/>
      <c r="AZ157" s="3"/>
      <c r="BA157" s="42"/>
      <c r="BB157" s="42">
        <f>BB84+BB85</f>
        <v>6.0521645975134373</v>
      </c>
      <c r="BC157" s="42"/>
      <c r="BD157" s="42"/>
      <c r="BE157" s="3"/>
      <c r="BG157" s="2">
        <v>12</v>
      </c>
      <c r="BH157" s="57">
        <v>42</v>
      </c>
      <c r="BI157" s="35">
        <f>BJ157/BJ$35*BI$35</f>
        <v>150</v>
      </c>
      <c r="BJ157" s="56">
        <f>HLOOKUP(BJ$116,$BL$116:$BP$178,BH157,FALSE)*VLOOKUP($BG157,$BH$24:$BJ$46,3,FALSE)</f>
        <v>150</v>
      </c>
      <c r="BK157" s="47" t="s">
        <v>22</v>
      </c>
      <c r="BL157" s="102">
        <v>1</v>
      </c>
      <c r="BM157" s="102">
        <v>1</v>
      </c>
      <c r="BN157" s="102">
        <v>1</v>
      </c>
      <c r="BO157" s="102">
        <v>1</v>
      </c>
      <c r="BP157" s="102">
        <v>1</v>
      </c>
      <c r="BR157" s="2">
        <v>1</v>
      </c>
      <c r="BS157" s="2">
        <v>1</v>
      </c>
      <c r="BT157" s="2">
        <v>1</v>
      </c>
      <c r="BU157" s="2">
        <v>1</v>
      </c>
      <c r="CA157" s="503"/>
      <c r="CB157" s="502"/>
      <c r="CC157" s="426">
        <f t="shared" si="192"/>
        <v>0</v>
      </c>
      <c r="CD157" s="429">
        <f t="shared" si="193"/>
        <v>0</v>
      </c>
      <c r="CE157" s="459" t="s">
        <v>22</v>
      </c>
      <c r="CF157" s="460"/>
      <c r="CG157" s="503"/>
      <c r="CH157" s="502"/>
      <c r="CI157" s="426">
        <f t="shared" si="194"/>
        <v>0</v>
      </c>
      <c r="CJ157" s="429">
        <f t="shared" si="195"/>
        <v>0</v>
      </c>
      <c r="CK157" s="459" t="s">
        <v>22</v>
      </c>
      <c r="CL157" s="460"/>
      <c r="CM157" s="503"/>
      <c r="CN157" s="502"/>
      <c r="CO157" s="426">
        <f t="shared" si="196"/>
        <v>0</v>
      </c>
      <c r="CP157" s="429">
        <f t="shared" si="197"/>
        <v>0</v>
      </c>
      <c r="CQ157" s="459" t="s">
        <v>22</v>
      </c>
      <c r="CR157" s="460"/>
      <c r="CS157" s="503"/>
      <c r="CT157" s="502"/>
      <c r="CU157" s="426">
        <f t="shared" si="198"/>
        <v>0</v>
      </c>
      <c r="CV157" s="429">
        <f t="shared" si="199"/>
        <v>0</v>
      </c>
      <c r="CW157" s="459" t="s">
        <v>22</v>
      </c>
      <c r="CX157" s="460"/>
      <c r="CY157" s="503"/>
      <c r="CZ157" s="502"/>
      <c r="DA157" s="426"/>
      <c r="DB157" s="429"/>
      <c r="DC157" s="459"/>
      <c r="DD157" s="460"/>
    </row>
    <row r="158" spans="1:108" x14ac:dyDescent="0.2">
      <c r="A158" s="49"/>
      <c r="B158" s="33">
        <v>57</v>
      </c>
      <c r="C158" s="212" t="s">
        <v>319</v>
      </c>
      <c r="D158" s="503"/>
      <c r="E158" s="502"/>
      <c r="F158" s="426">
        <f t="shared" si="189"/>
        <v>150</v>
      </c>
      <c r="G158" s="429">
        <f t="shared" si="190"/>
        <v>150</v>
      </c>
      <c r="H158" s="459" t="s">
        <v>22</v>
      </c>
      <c r="I158" s="460"/>
      <c r="J158" s="156">
        <f t="shared" si="191"/>
        <v>1440</v>
      </c>
      <c r="K158" s="9">
        <f t="shared" si="90"/>
        <v>346.66281470456988</v>
      </c>
      <c r="L158" s="27">
        <f t="shared" si="91"/>
        <v>926.04275234683757</v>
      </c>
      <c r="M158" s="12">
        <f t="shared" si="92"/>
        <v>14316.416785393794</v>
      </c>
      <c r="N158" s="9">
        <f t="shared" si="93"/>
        <v>87.66333249660029</v>
      </c>
      <c r="O158" s="27">
        <f t="shared" si="94"/>
        <v>498.22770524544842</v>
      </c>
      <c r="T158" s="91"/>
      <c r="Z158" s="2">
        <v>2</v>
      </c>
      <c r="AA158" s="35">
        <f t="shared" si="95"/>
        <v>43</v>
      </c>
      <c r="AB158" s="42"/>
      <c r="AC158" s="42">
        <f>(AC87)</f>
        <v>9.6</v>
      </c>
      <c r="AD158" s="42"/>
      <c r="AE158" s="42"/>
      <c r="AF158" s="3"/>
      <c r="AG158" s="42"/>
      <c r="AH158" s="42">
        <f>(AH87)</f>
        <v>2.3110854313637992</v>
      </c>
      <c r="AI158" s="42"/>
      <c r="AJ158" s="42"/>
      <c r="AK158" s="3"/>
      <c r="AL158" s="42"/>
      <c r="AM158" s="42">
        <f>(AM87)</f>
        <v>6.1736183489789171</v>
      </c>
      <c r="AN158" s="42"/>
      <c r="AO158" s="42"/>
      <c r="AP158" s="3"/>
      <c r="AQ158" s="42"/>
      <c r="AR158" s="42">
        <f>(AR87)</f>
        <v>95.44277856929196</v>
      </c>
      <c r="AS158" s="42"/>
      <c r="AT158" s="42"/>
      <c r="AU158" s="3"/>
      <c r="AV158" s="42"/>
      <c r="AW158" s="42">
        <f>(AW87)</f>
        <v>0.58442221664400196</v>
      </c>
      <c r="AX158" s="42"/>
      <c r="AY158" s="42"/>
      <c r="AZ158" s="3"/>
      <c r="BA158" s="42"/>
      <c r="BB158" s="42">
        <f>(BB87)</f>
        <v>3.3215180349696563</v>
      </c>
      <c r="BC158" s="42"/>
      <c r="BD158" s="42"/>
      <c r="BE158" s="3"/>
      <c r="BG158" s="2">
        <v>12</v>
      </c>
      <c r="BH158" s="57">
        <v>43</v>
      </c>
      <c r="BI158" s="35">
        <f>BJ158/BJ$35*BI$35</f>
        <v>150</v>
      </c>
      <c r="BJ158" s="56">
        <f>HLOOKUP(BJ$116,$BL$116:$BP$178,BH158,FALSE)*VLOOKUP($BG158,$BH$24:$BJ$46,3,FALSE)</f>
        <v>150</v>
      </c>
      <c r="BK158" s="47" t="s">
        <v>22</v>
      </c>
      <c r="BL158" s="102">
        <v>1</v>
      </c>
      <c r="BM158" s="102">
        <v>1</v>
      </c>
      <c r="BN158" s="102">
        <v>1</v>
      </c>
      <c r="BO158" s="102">
        <v>1</v>
      </c>
      <c r="BP158" s="102">
        <v>1</v>
      </c>
      <c r="BR158" s="2">
        <v>1</v>
      </c>
      <c r="BS158" s="2">
        <v>1</v>
      </c>
      <c r="BT158" s="2">
        <v>1</v>
      </c>
      <c r="BU158" s="2">
        <v>1</v>
      </c>
      <c r="CA158" s="503"/>
      <c r="CB158" s="502"/>
      <c r="CC158" s="426">
        <f t="shared" si="192"/>
        <v>0</v>
      </c>
      <c r="CD158" s="429">
        <f t="shared" si="193"/>
        <v>0</v>
      </c>
      <c r="CE158" s="459" t="s">
        <v>22</v>
      </c>
      <c r="CF158" s="460"/>
      <c r="CG158" s="503"/>
      <c r="CH158" s="502"/>
      <c r="CI158" s="426">
        <f t="shared" si="194"/>
        <v>0</v>
      </c>
      <c r="CJ158" s="429">
        <f t="shared" si="195"/>
        <v>0</v>
      </c>
      <c r="CK158" s="459" t="s">
        <v>22</v>
      </c>
      <c r="CL158" s="460"/>
      <c r="CM158" s="503"/>
      <c r="CN158" s="502"/>
      <c r="CO158" s="426">
        <f t="shared" si="196"/>
        <v>0</v>
      </c>
      <c r="CP158" s="429">
        <f t="shared" si="197"/>
        <v>0</v>
      </c>
      <c r="CQ158" s="459" t="s">
        <v>22</v>
      </c>
      <c r="CR158" s="460"/>
      <c r="CS158" s="503"/>
      <c r="CT158" s="502"/>
      <c r="CU158" s="426">
        <f t="shared" si="198"/>
        <v>0</v>
      </c>
      <c r="CV158" s="429">
        <f t="shared" si="199"/>
        <v>0</v>
      </c>
      <c r="CW158" s="459" t="s">
        <v>22</v>
      </c>
      <c r="CX158" s="460"/>
      <c r="CY158" s="503"/>
      <c r="CZ158" s="502"/>
      <c r="DA158" s="426"/>
      <c r="DB158" s="429"/>
      <c r="DC158" s="459"/>
      <c r="DD158" s="460"/>
    </row>
    <row r="159" spans="1:108" x14ac:dyDescent="0.2">
      <c r="A159" s="49"/>
      <c r="B159" s="33">
        <v>58</v>
      </c>
      <c r="C159" s="212" t="s">
        <v>320</v>
      </c>
      <c r="D159" s="503"/>
      <c r="E159" s="502"/>
      <c r="F159" s="426">
        <f t="shared" si="189"/>
        <v>0</v>
      </c>
      <c r="G159" s="429">
        <f t="shared" si="190"/>
        <v>0</v>
      </c>
      <c r="H159" s="459" t="s">
        <v>22</v>
      </c>
      <c r="I159" s="460"/>
      <c r="J159" s="156">
        <f t="shared" si="191"/>
        <v>0</v>
      </c>
      <c r="K159" s="9">
        <f t="shared" si="90"/>
        <v>0</v>
      </c>
      <c r="L159" s="27">
        <f t="shared" si="91"/>
        <v>0</v>
      </c>
      <c r="M159" s="12">
        <f t="shared" si="92"/>
        <v>0</v>
      </c>
      <c r="N159" s="9">
        <f t="shared" si="93"/>
        <v>0</v>
      </c>
      <c r="O159" s="27">
        <f t="shared" si="94"/>
        <v>0</v>
      </c>
      <c r="T159" s="91"/>
      <c r="Z159" s="2">
        <v>2</v>
      </c>
      <c r="AA159" s="35">
        <f t="shared" si="95"/>
        <v>44</v>
      </c>
      <c r="AB159" s="42"/>
      <c r="AC159" s="42">
        <f>Kostengegevens!C57</f>
        <v>0</v>
      </c>
      <c r="AD159" s="42"/>
      <c r="AE159" s="42"/>
      <c r="AF159" s="3"/>
      <c r="AG159" s="42"/>
      <c r="AH159" s="42">
        <f>Kostengegevens!H57</f>
        <v>0</v>
      </c>
      <c r="AI159" s="42"/>
      <c r="AJ159" s="42"/>
      <c r="AK159" s="3"/>
      <c r="AL159" s="42"/>
      <c r="AM159" s="42">
        <f>Kostengegevens!M57</f>
        <v>0</v>
      </c>
      <c r="AN159" s="42"/>
      <c r="AO159" s="42"/>
      <c r="AP159" s="3"/>
      <c r="AQ159" s="42"/>
      <c r="AR159" s="42">
        <f>Kostengegevens!R57</f>
        <v>0</v>
      </c>
      <c r="AS159" s="42"/>
      <c r="AT159" s="42"/>
      <c r="AU159" s="3"/>
      <c r="AV159" s="42"/>
      <c r="AW159" s="42">
        <f>Kostengegevens!W57</f>
        <v>0</v>
      </c>
      <c r="AX159" s="42"/>
      <c r="AY159" s="42"/>
      <c r="AZ159" s="3"/>
      <c r="BA159" s="42"/>
      <c r="BB159" s="42">
        <f>Kostengegevens!AB57</f>
        <v>0</v>
      </c>
      <c r="BC159" s="42"/>
      <c r="BD159" s="42"/>
      <c r="BE159" s="3"/>
      <c r="BG159" s="2">
        <v>12</v>
      </c>
      <c r="BH159" s="57">
        <v>44</v>
      </c>
      <c r="BI159" s="35">
        <f>BJ159/BJ$35*BI$35</f>
        <v>0</v>
      </c>
      <c r="BJ159" s="56">
        <f>HLOOKUP(BJ$116,$BL$116:$BP$178,BH159,FALSE)*VLOOKUP($BG159,$BH$24:$BJ$46,3,FALSE)</f>
        <v>0</v>
      </c>
      <c r="BK159" s="47" t="s">
        <v>22</v>
      </c>
      <c r="BL159" s="102">
        <v>0</v>
      </c>
      <c r="BM159" s="102">
        <v>0</v>
      </c>
      <c r="BN159" s="102">
        <v>1</v>
      </c>
      <c r="BO159" s="102">
        <v>1</v>
      </c>
      <c r="BP159" s="102">
        <v>0</v>
      </c>
      <c r="BR159" s="2">
        <v>5</v>
      </c>
      <c r="BS159" s="2">
        <v>5</v>
      </c>
      <c r="BT159" s="2">
        <v>5</v>
      </c>
      <c r="BU159" s="2">
        <v>5</v>
      </c>
      <c r="CA159" s="503"/>
      <c r="CB159" s="502"/>
      <c r="CC159" s="426">
        <f t="shared" si="192"/>
        <v>0</v>
      </c>
      <c r="CD159" s="429">
        <f t="shared" si="193"/>
        <v>0</v>
      </c>
      <c r="CE159" s="459" t="s">
        <v>22</v>
      </c>
      <c r="CF159" s="460"/>
      <c r="CG159" s="503"/>
      <c r="CH159" s="502"/>
      <c r="CI159" s="426">
        <f t="shared" si="194"/>
        <v>0</v>
      </c>
      <c r="CJ159" s="429">
        <f t="shared" si="195"/>
        <v>0</v>
      </c>
      <c r="CK159" s="459" t="s">
        <v>22</v>
      </c>
      <c r="CL159" s="460"/>
      <c r="CM159" s="503"/>
      <c r="CN159" s="502"/>
      <c r="CO159" s="426">
        <f t="shared" si="196"/>
        <v>0</v>
      </c>
      <c r="CP159" s="429">
        <f t="shared" si="197"/>
        <v>0</v>
      </c>
      <c r="CQ159" s="459" t="s">
        <v>22</v>
      </c>
      <c r="CR159" s="460"/>
      <c r="CS159" s="503"/>
      <c r="CT159" s="502"/>
      <c r="CU159" s="426">
        <f t="shared" si="198"/>
        <v>0</v>
      </c>
      <c r="CV159" s="429">
        <f t="shared" si="199"/>
        <v>0</v>
      </c>
      <c r="CW159" s="459" t="s">
        <v>22</v>
      </c>
      <c r="CX159" s="460"/>
      <c r="CY159" s="503"/>
      <c r="CZ159" s="502"/>
      <c r="DA159" s="426"/>
      <c r="DB159" s="429"/>
      <c r="DC159" s="459"/>
      <c r="DD159" s="460"/>
    </row>
    <row r="160" spans="1:108" x14ac:dyDescent="0.2">
      <c r="A160" s="1" t="s">
        <v>173</v>
      </c>
      <c r="C160" s="211" t="s">
        <v>11</v>
      </c>
      <c r="D160" s="501"/>
      <c r="E160" s="502"/>
      <c r="F160" s="431"/>
      <c r="G160" s="429"/>
      <c r="H160" s="459"/>
      <c r="I160" s="460"/>
      <c r="J160" s="6"/>
      <c r="K160" s="9"/>
      <c r="L160" s="27"/>
      <c r="M160" s="12"/>
      <c r="N160" s="9"/>
      <c r="O160" s="27"/>
      <c r="P160" s="84"/>
      <c r="T160" s="91"/>
      <c r="U160" s="263"/>
      <c r="V160" s="263"/>
      <c r="W160" s="263"/>
      <c r="X160" s="263"/>
      <c r="Y160" s="263"/>
      <c r="AA160" s="35">
        <f t="shared" si="95"/>
        <v>45</v>
      </c>
      <c r="AB160" s="35">
        <f>HLOOKUP(AB$116,Kostengegevens!$AK$74:$BN$135,Stappen!$AA160,FALSE)</f>
        <v>0</v>
      </c>
      <c r="AC160" s="35">
        <f>HLOOKUP(AC$116,Kostengegevens!$AK$74:$BN$135,Stappen!$AA160,FALSE)</f>
        <v>0</v>
      </c>
      <c r="AD160" s="35">
        <f>HLOOKUP(AD$116,Kostengegevens!$AK$74:$BN$135,Stappen!$AA160,FALSE)</f>
        <v>0</v>
      </c>
      <c r="AE160" s="35">
        <f>HLOOKUP(AE$116,Kostengegevens!$AK$74:$BN$135,Stappen!$AA160,FALSE)</f>
        <v>0</v>
      </c>
      <c r="AF160" s="3"/>
      <c r="AG160" s="35">
        <f>HLOOKUP(AG$116+10,Kostengegevens!$AK$74:$BN$135,Stappen!$AA160,FALSE)</f>
        <v>0</v>
      </c>
      <c r="AH160" s="35">
        <f>HLOOKUP(AH$116+10,Kostengegevens!$AK$74:$BN$135,Stappen!$AA160,FALSE)</f>
        <v>0</v>
      </c>
      <c r="AI160" s="35">
        <f>HLOOKUP(AI$116+10,Kostengegevens!$AK$74:$BN$135,Stappen!$AA160,FALSE)</f>
        <v>0</v>
      </c>
      <c r="AJ160" s="35">
        <f>HLOOKUP(AJ$116+10,Kostengegevens!$AK$74:$BN$135,Stappen!$AA160,FALSE)</f>
        <v>0</v>
      </c>
      <c r="AK160" s="3"/>
      <c r="AL160" s="35">
        <f>HLOOKUP(AL$116+20,Kostengegevens!$AK$74:$BN$135,Stappen!$AA160,FALSE)</f>
        <v>0</v>
      </c>
      <c r="AM160" s="35">
        <f>HLOOKUP(AM$116+20,Kostengegevens!$AK$74:$BN$135,Stappen!$AA160,FALSE)</f>
        <v>0</v>
      </c>
      <c r="AN160" s="35">
        <f>HLOOKUP(AN$116+20,Kostengegevens!$AK$74:$BN$135,Stappen!$AA160,FALSE)</f>
        <v>0</v>
      </c>
      <c r="AO160" s="35">
        <f>HLOOKUP(AO$116+20,Kostengegevens!$AK$74:$BN$135,Stappen!$AA160,FALSE)</f>
        <v>0</v>
      </c>
      <c r="AP160" s="3"/>
      <c r="AQ160" s="35">
        <f>HLOOKUP(AQ$116+30,Kostengegevens!$AK$74:$BN$135,Stappen!$AA160,FALSE)</f>
        <v>0</v>
      </c>
      <c r="AR160" s="35">
        <f>HLOOKUP(AR$116+30,Kostengegevens!$AK$74:$BN$135,Stappen!$AA160,FALSE)</f>
        <v>0</v>
      </c>
      <c r="AS160" s="35">
        <f>HLOOKUP(AS$116+30,Kostengegevens!$AK$74:$BN$135,Stappen!$AA160,FALSE)</f>
        <v>0</v>
      </c>
      <c r="AT160" s="35">
        <f>HLOOKUP(AT$116+30,Kostengegevens!$AK$74:$BN$135,Stappen!$AA160,FALSE)</f>
        <v>0</v>
      </c>
      <c r="AU160" s="3"/>
      <c r="AV160" s="35">
        <f>HLOOKUP(AV$116+40,Kostengegevens!$AK$74:$BN$135,Stappen!$AA160,FALSE)</f>
        <v>0</v>
      </c>
      <c r="AW160" s="35">
        <f>HLOOKUP(AW$116+40,Kostengegevens!$AK$74:$BN$135,Stappen!$AA160,FALSE)</f>
        <v>0</v>
      </c>
      <c r="AX160" s="35">
        <f>HLOOKUP(AX$116+40,Kostengegevens!$AK$74:$BN$135,Stappen!$AA160,FALSE)</f>
        <v>0</v>
      </c>
      <c r="AY160" s="35">
        <f>HLOOKUP(AY$116+40,Kostengegevens!$AK$74:$BN$135,Stappen!$AA160,FALSE)</f>
        <v>0</v>
      </c>
      <c r="AZ160" s="3"/>
      <c r="BA160" s="35">
        <f>HLOOKUP(BA$116+50,Kostengegevens!$AK$74:$BN$135,Stappen!$AA160,FALSE)</f>
        <v>0</v>
      </c>
      <c r="BB160" s="35">
        <f>HLOOKUP(BB$116+50,Kostengegevens!$AK$74:$BN$135,Stappen!$AA160,FALSE)</f>
        <v>0</v>
      </c>
      <c r="BC160" s="35">
        <f>HLOOKUP(BC$116+50,Kostengegevens!$AK$74:$BN$135,Stappen!$AA160,FALSE)</f>
        <v>0</v>
      </c>
      <c r="BD160" s="35">
        <f>HLOOKUP(BD$116+50,Kostengegevens!$AK$74:$BN$135,Stappen!$AA160,FALSE)</f>
        <v>0</v>
      </c>
      <c r="BE160" s="3"/>
      <c r="BH160" s="57">
        <v>45</v>
      </c>
      <c r="BI160" s="53"/>
      <c r="BJ160" s="56"/>
      <c r="BK160" s="47"/>
      <c r="BL160" s="102"/>
      <c r="BM160" s="102"/>
      <c r="BN160" s="102"/>
      <c r="BO160" s="102"/>
      <c r="BP160" s="102"/>
      <c r="CA160" s="501"/>
      <c r="CB160" s="502"/>
      <c r="CC160" s="431"/>
      <c r="CD160" s="429"/>
      <c r="CE160" s="459"/>
      <c r="CF160" s="460"/>
      <c r="CG160" s="501"/>
      <c r="CH160" s="502"/>
      <c r="CI160" s="431"/>
      <c r="CJ160" s="429"/>
      <c r="CK160" s="459"/>
      <c r="CL160" s="460"/>
      <c r="CM160" s="501"/>
      <c r="CN160" s="502"/>
      <c r="CO160" s="431"/>
      <c r="CP160" s="429"/>
      <c r="CQ160" s="459"/>
      <c r="CR160" s="460"/>
      <c r="CS160" s="501"/>
      <c r="CT160" s="502"/>
      <c r="CU160" s="431"/>
      <c r="CV160" s="429"/>
      <c r="CW160" s="459"/>
      <c r="CX160" s="460"/>
      <c r="CY160" s="501"/>
      <c r="CZ160" s="502"/>
      <c r="DA160" s="431"/>
      <c r="DB160" s="429"/>
      <c r="DC160" s="459"/>
      <c r="DD160" s="460"/>
    </row>
    <row r="161" spans="1:108" x14ac:dyDescent="0.2">
      <c r="A161" s="49"/>
      <c r="B161" s="33">
        <v>61</v>
      </c>
      <c r="C161" s="212" t="s">
        <v>321</v>
      </c>
      <c r="D161" s="503"/>
      <c r="E161" s="502"/>
      <c r="F161" s="426">
        <f t="shared" ref="F161:F166" si="200">BI161</f>
        <v>150</v>
      </c>
      <c r="G161" s="429">
        <f t="shared" ref="G161:G166" si="201">BJ161</f>
        <v>150</v>
      </c>
      <c r="H161" s="459" t="s">
        <v>22</v>
      </c>
      <c r="I161" s="460"/>
      <c r="J161" s="156">
        <f t="shared" ref="J161:J166" si="202">HLOOKUP($Z161,$AB$116:$AF$183,$AA161,FALSE)*$F161</f>
        <v>300.15450000134933</v>
      </c>
      <c r="K161" s="9">
        <f t="shared" si="90"/>
        <v>51.00524999999152</v>
      </c>
      <c r="L161" s="27">
        <f t="shared" si="91"/>
        <v>172.51875000090422</v>
      </c>
      <c r="M161" s="12">
        <f t="shared" si="92"/>
        <v>2875.9747499978403</v>
      </c>
      <c r="N161" s="9">
        <f t="shared" si="93"/>
        <v>18.256500000069309</v>
      </c>
      <c r="O161" s="27">
        <f t="shared" si="94"/>
        <v>23.166000000071563</v>
      </c>
      <c r="T161" s="91" t="str">
        <f>CONCATENATE("ref: ",Referentieproject!T161)</f>
        <v>ref: 1 woningbouw (veiligheidsaarding)</v>
      </c>
      <c r="U161" s="263" t="s">
        <v>139</v>
      </c>
      <c r="V161" s="263" t="s">
        <v>118</v>
      </c>
      <c r="W161" s="263" t="s">
        <v>119</v>
      </c>
      <c r="X161" s="263" t="s">
        <v>120</v>
      </c>
      <c r="Y161" s="263" t="s">
        <v>62</v>
      </c>
      <c r="Z161" s="2">
        <f>IF(D241=T161,Referentieproject!Z161,IF(D241=U161,1,IF(D241=V161,2,IF(D241=W161,3,IF(D241=X161,4,5)))))</f>
        <v>1</v>
      </c>
      <c r="AA161" s="35">
        <f t="shared" si="95"/>
        <v>46</v>
      </c>
      <c r="AB161" s="35">
        <f>HLOOKUP(AB$116,Kostengegevens!$AK$74:$BN$135,Stappen!$AA161,FALSE)</f>
        <v>2.0010300000089956</v>
      </c>
      <c r="AC161" s="35">
        <f>HLOOKUP(AC$116,Kostengegevens!$AK$74:$BN$135,Stappen!$AA161,FALSE)</f>
        <v>11.44936750000943</v>
      </c>
      <c r="AD161" s="35">
        <f>HLOOKUP(AD$116,Kostengegevens!$AK$74:$BN$135,Stappen!$AA161,FALSE)</f>
        <v>11.449367500010339</v>
      </c>
      <c r="AE161" s="35">
        <f>HLOOKUP(AE$116,Kostengegevens!$AK$74:$BN$135,Stappen!$AA161,FALSE)</f>
        <v>11.44936750000943</v>
      </c>
      <c r="AF161" s="3"/>
      <c r="AG161" s="35">
        <f>HLOOKUP(AG$116+10,Kostengegevens!$AK$74:$BN$135,Stappen!$AA161,FALSE)</f>
        <v>0.34003499999994347</v>
      </c>
      <c r="AH161" s="35">
        <f>HLOOKUP(AH$116+10,Kostengegevens!$AK$74:$BN$135,Stappen!$AA161,FALSE)</f>
        <v>2.1576006249998727</v>
      </c>
      <c r="AI161" s="35">
        <f>HLOOKUP(AI$116+10,Kostengegevens!$AK$74:$BN$135,Stappen!$AA161,FALSE)</f>
        <v>2.1576006249998727</v>
      </c>
      <c r="AJ161" s="35">
        <f>HLOOKUP(AJ$116+10,Kostengegevens!$AK$74:$BN$135,Stappen!$AA161,FALSE)</f>
        <v>2.1576006249998727</v>
      </c>
      <c r="AK161" s="3"/>
      <c r="AL161" s="35">
        <f>HLOOKUP(AL$116+20,Kostengegevens!$AK$74:$BN$135,Stappen!$AA161,FALSE)</f>
        <v>1.1501250000060281</v>
      </c>
      <c r="AM161" s="35">
        <f>HLOOKUP(AM$116+20,Kostengegevens!$AK$74:$BN$135,Stappen!$AA161,FALSE)</f>
        <v>5.4284156250062097</v>
      </c>
      <c r="AN161" s="35">
        <f>HLOOKUP(AN$116+20,Kostengegevens!$AK$74:$BN$135,Stappen!$AA161,FALSE)</f>
        <v>5.428415625006437</v>
      </c>
      <c r="AO161" s="35">
        <f>HLOOKUP(AO$116+20,Kostengegevens!$AK$74:$BN$135,Stappen!$AA161,FALSE)</f>
        <v>5.428415625006437</v>
      </c>
      <c r="AP161" s="3"/>
      <c r="AQ161" s="35">
        <f>HLOOKUP(AQ$116+30,Kostengegevens!$AK$74:$BN$135,Stappen!$AA161,FALSE)</f>
        <v>19.173164999985602</v>
      </c>
      <c r="AR161" s="35">
        <f>HLOOKUP(AR$116+30,Kostengegevens!$AK$74:$BN$135,Stappen!$AA161,FALSE)</f>
        <v>89.953993124989211</v>
      </c>
      <c r="AS161" s="35">
        <f>HLOOKUP(AS$116+30,Kostengegevens!$AK$74:$BN$135,Stappen!$AA161,FALSE)</f>
        <v>89.953993124989211</v>
      </c>
      <c r="AT161" s="35">
        <f>HLOOKUP(AT$116+30,Kostengegevens!$AK$74:$BN$135,Stappen!$AA161,FALSE)</f>
        <v>89.953993124989211</v>
      </c>
      <c r="AU161" s="3"/>
      <c r="AV161" s="35">
        <f>HLOOKUP(AV$116+40,Kostengegevens!$AK$74:$BN$135,Stappen!$AA161,FALSE)</f>
        <v>0.12171000000046206</v>
      </c>
      <c r="AW161" s="35">
        <f>HLOOKUP(AW$116+40,Kostengegevens!$AK$74:$BN$135,Stappen!$AA161,FALSE)</f>
        <v>0.57466937500055337</v>
      </c>
      <c r="AX161" s="35">
        <f>HLOOKUP(AX$116+40,Kostengegevens!$AK$74:$BN$135,Stappen!$AA161,FALSE)</f>
        <v>0.57466937500055337</v>
      </c>
      <c r="AY161" s="35">
        <f>HLOOKUP(AY$116+40,Kostengegevens!$AK$74:$BN$135,Stappen!$AA161,FALSE)</f>
        <v>0.57466937500055337</v>
      </c>
      <c r="AZ161" s="3"/>
      <c r="BA161" s="35">
        <f>HLOOKUP(BA$116+50,Kostengegevens!$AK$74:$BN$135,Stappen!$AA161,FALSE)</f>
        <v>0.15444000000047708</v>
      </c>
      <c r="BB161" s="35">
        <f>HLOOKUP(BB$116+50,Kostengegevens!$AK$74:$BN$135,Stappen!$AA161,FALSE)</f>
        <v>0.28309859375036694</v>
      </c>
      <c r="BC161" s="35">
        <f>HLOOKUP(BC$116+50,Kostengegevens!$AK$74:$BN$135,Stappen!$AA161,FALSE)</f>
        <v>0.28309859375036694</v>
      </c>
      <c r="BD161" s="35">
        <f>HLOOKUP(BD$116+50,Kostengegevens!$AK$74:$BN$135,Stappen!$AA161,FALSE)</f>
        <v>0.28309859375036694</v>
      </c>
      <c r="BE161" s="3"/>
      <c r="BG161" s="2">
        <v>13</v>
      </c>
      <c r="BH161" s="57">
        <v>46</v>
      </c>
      <c r="BI161" s="35">
        <f t="shared" ref="BI161:BI166" si="203">BJ161/BJ$36*BI$36</f>
        <v>150</v>
      </c>
      <c r="BJ161" s="56">
        <f t="shared" ref="BJ161:BJ166" si="204">HLOOKUP(BJ$116,$BL$116:$BP$178,BH161,FALSE)*VLOOKUP($BG161,$BH$24:$BJ$46,3,FALSE)</f>
        <v>150</v>
      </c>
      <c r="BK161" s="47" t="s">
        <v>22</v>
      </c>
      <c r="BL161" s="102">
        <v>0</v>
      </c>
      <c r="BM161" s="102">
        <v>1</v>
      </c>
      <c r="BN161" s="102">
        <v>1</v>
      </c>
      <c r="BO161" s="102">
        <v>1</v>
      </c>
      <c r="BP161" s="102">
        <v>0</v>
      </c>
      <c r="BR161" s="2">
        <v>1</v>
      </c>
      <c r="BS161" s="2">
        <v>1</v>
      </c>
      <c r="BT161" s="2">
        <v>2</v>
      </c>
      <c r="BU161" s="2">
        <v>2</v>
      </c>
      <c r="CA161" s="503"/>
      <c r="CB161" s="502"/>
      <c r="CC161" s="426">
        <f t="shared" ref="CC161:CC166" si="205">EF161</f>
        <v>0</v>
      </c>
      <c r="CD161" s="429">
        <f t="shared" ref="CD161:CD166" si="206">EG161</f>
        <v>0</v>
      </c>
      <c r="CE161" s="459" t="s">
        <v>22</v>
      </c>
      <c r="CF161" s="460"/>
      <c r="CG161" s="503"/>
      <c r="CH161" s="502"/>
      <c r="CI161" s="426">
        <f t="shared" ref="CI161:CI166" si="207">EL161</f>
        <v>0</v>
      </c>
      <c r="CJ161" s="429">
        <f t="shared" ref="CJ161:CJ166" si="208">EM161</f>
        <v>0</v>
      </c>
      <c r="CK161" s="459" t="s">
        <v>22</v>
      </c>
      <c r="CL161" s="460"/>
      <c r="CM161" s="503"/>
      <c r="CN161" s="502"/>
      <c r="CO161" s="426">
        <f t="shared" ref="CO161:CO166" si="209">ER161</f>
        <v>0</v>
      </c>
      <c r="CP161" s="429">
        <f t="shared" ref="CP161:CP166" si="210">ES161</f>
        <v>0</v>
      </c>
      <c r="CQ161" s="459" t="s">
        <v>22</v>
      </c>
      <c r="CR161" s="460"/>
      <c r="CS161" s="503"/>
      <c r="CT161" s="502"/>
      <c r="CU161" s="426">
        <f t="shared" ref="CU161:CU166" si="211">EX161</f>
        <v>0</v>
      </c>
      <c r="CV161" s="429">
        <f t="shared" ref="CV161:CV166" si="212">EY161</f>
        <v>0</v>
      </c>
      <c r="CW161" s="459" t="s">
        <v>22</v>
      </c>
      <c r="CX161" s="460"/>
      <c r="CY161" s="503"/>
      <c r="CZ161" s="502"/>
      <c r="DA161" s="426"/>
      <c r="DB161" s="429"/>
      <c r="DC161" s="459"/>
      <c r="DD161" s="460"/>
    </row>
    <row r="162" spans="1:108" x14ac:dyDescent="0.2">
      <c r="A162" s="49"/>
      <c r="B162" s="33">
        <v>62</v>
      </c>
      <c r="C162" s="212" t="s">
        <v>322</v>
      </c>
      <c r="D162" s="503"/>
      <c r="E162" s="502"/>
      <c r="F162" s="426">
        <f t="shared" si="200"/>
        <v>0</v>
      </c>
      <c r="G162" s="429">
        <f t="shared" si="201"/>
        <v>0</v>
      </c>
      <c r="H162" s="459" t="s">
        <v>22</v>
      </c>
      <c r="I162" s="460"/>
      <c r="J162" s="156">
        <f t="shared" si="202"/>
        <v>0</v>
      </c>
      <c r="K162" s="9">
        <f t="shared" si="90"/>
        <v>0</v>
      </c>
      <c r="L162" s="27">
        <f t="shared" si="91"/>
        <v>0</v>
      </c>
      <c r="M162" s="12">
        <f t="shared" si="92"/>
        <v>0</v>
      </c>
      <c r="N162" s="9">
        <f t="shared" si="93"/>
        <v>0</v>
      </c>
      <c r="O162" s="27">
        <f t="shared" si="94"/>
        <v>0</v>
      </c>
      <c r="T162" s="91" t="str">
        <f>CONCATENATE("ref: ",Referentieproject!T162)</f>
        <v>ref: 5 n.v.t.</v>
      </c>
      <c r="U162" s="263" t="s">
        <v>122</v>
      </c>
      <c r="V162" s="263" t="s">
        <v>123</v>
      </c>
      <c r="W162" s="263" t="s">
        <v>124</v>
      </c>
      <c r="X162" s="263" t="s">
        <v>120</v>
      </c>
      <c r="Y162" s="263" t="s">
        <v>62</v>
      </c>
      <c r="Z162" s="2">
        <f>IF(D242=T162,Referentieproject!Z162,IF(D242=U162,1,IF(D242=V162,2,IF(D242=W162,3,IF(D242=X162,4,5)))))</f>
        <v>5</v>
      </c>
      <c r="AA162" s="35">
        <f t="shared" si="95"/>
        <v>47</v>
      </c>
      <c r="AB162" s="355" t="e">
        <f>HLOOKUP(AB$116,Kostengegevens!$AK$74:$BN$135,Stappen!$AA162,FALSE)*F168/F162</f>
        <v>#DIV/0!</v>
      </c>
      <c r="AC162" s="333" t="e">
        <f>HLOOKUP(AC$116,Kostengegevens!$AK$74:$BN$135,Stappen!$AA162,FALSE)*F168/F162</f>
        <v>#DIV/0!</v>
      </c>
      <c r="AD162" s="333" t="e">
        <f>HLOOKUP(AD$116,Kostengegevens!$AK$74:$BN$135,Stappen!$AA162,FALSE)*F168/F162</f>
        <v>#DIV/0!</v>
      </c>
      <c r="AE162" s="35">
        <f>HLOOKUP(AE$116,Kostengegevens!$AK$74:$BN$135,Stappen!$AA162,FALSE)</f>
        <v>8.8634000000001834</v>
      </c>
      <c r="AF162" s="3"/>
      <c r="AG162" s="333" t="e">
        <f>HLOOKUP(AG$116+10,Kostengegevens!$AK$74:$BN$135,Stappen!$AA162,FALSE)*F168/F162</f>
        <v>#DIV/0!</v>
      </c>
      <c r="AH162" s="333" t="e">
        <f>HLOOKUP(AH$116+10,Kostengegevens!$AK$74:$BN$135,Stappen!$AA162,FALSE)*F168/F162</f>
        <v>#DIV/0!</v>
      </c>
      <c r="AI162" s="333" t="e">
        <f>HLOOKUP(AI$116+10,Kostengegevens!$AK$74:$BN$135,Stappen!$AA162,FALSE)*F168/F162</f>
        <v>#DIV/0!</v>
      </c>
      <c r="AJ162" s="35">
        <f>HLOOKUP(AJ$116+10,Kostengegevens!$AK$74:$BN$135,Stappen!$AA162,FALSE)</f>
        <v>1.2909750000006852</v>
      </c>
      <c r="AK162" s="3"/>
      <c r="AL162" s="333" t="e">
        <f>HLOOKUP(AL$116+20,Kostengegevens!$AK$74:$BN$135,Stappen!$AA162,FALSE)*F168/F162</f>
        <v>#DIV/0!</v>
      </c>
      <c r="AM162" s="333" t="e">
        <f>HLOOKUP(AM$116+20,Kostengegevens!$AK$74:$BN$135,Stappen!$AA162,FALSE)*F168/F162</f>
        <v>#DIV/0!</v>
      </c>
      <c r="AN162" s="333" t="e">
        <f>HLOOKUP(AN$116+20,Kostengegevens!$AK$74:$BN$135,Stappen!$AA162,FALSE)*F168/F162</f>
        <v>#DIV/0!</v>
      </c>
      <c r="AO162" s="35">
        <f>HLOOKUP(AO$116+20,Kostengegevens!$AK$74:$BN$135,Stappen!$AA162,FALSE)</f>
        <v>1.0489249999986896</v>
      </c>
      <c r="AP162" s="3"/>
      <c r="AQ162" s="333" t="e">
        <f>HLOOKUP(AQ$116+30,Kostengegevens!$AK$74:$BN$135,Stappen!$AA162,FALSE)*F168/F162</f>
        <v>#DIV/0!</v>
      </c>
      <c r="AR162" s="333" t="e">
        <f>HLOOKUP(AR$116+30,Kostengegevens!$AK$74:$BN$135,Stappen!$AA162,FALSE)*F168/F162</f>
        <v>#DIV/0!</v>
      </c>
      <c r="AS162" s="333" t="e">
        <f>HLOOKUP(AS$116+30,Kostengegevens!$AK$74:$BN$135,Stappen!$AA162,FALSE)*F168/F162</f>
        <v>#DIV/0!</v>
      </c>
      <c r="AT162" s="35">
        <f>HLOOKUP(AT$116+30,Kostengegevens!$AK$74:$BN$135,Stappen!$AA162,FALSE)</f>
        <v>19.355175000026065</v>
      </c>
      <c r="AU162" s="3"/>
      <c r="AV162" s="333" t="e">
        <f>HLOOKUP(AV$116+40,Kostengegevens!$AK$74:$BN$135,Stappen!$AA162,FALSE)*F168/F162</f>
        <v>#DIV/0!</v>
      </c>
      <c r="AW162" s="333" t="e">
        <f>HLOOKUP(AW$116+40,Kostengegevens!$AK$74:$BN$135,Stappen!$AA162,FALSE)*F168/F162</f>
        <v>#DIV/0!</v>
      </c>
      <c r="AX162" s="333" t="e">
        <f>HLOOKUP(AX$116+40,Kostengegevens!$AK$74:$BN$135,Stappen!$AA162,FALSE)*F168/F162</f>
        <v>#DIV/0!</v>
      </c>
      <c r="AY162" s="35">
        <f>HLOOKUP(AY$116+40,Kostengegevens!$AK$74:$BN$135,Stappen!$AA162,FALSE)</f>
        <v>0.15104999999994106</v>
      </c>
      <c r="AZ162" s="3"/>
      <c r="BA162" s="333" t="e">
        <f>HLOOKUP(BA$116+50,Kostengegevens!$AK$74:$BN$135,Stappen!$AA162,FALSE)*F168/F162</f>
        <v>#DIV/0!</v>
      </c>
      <c r="BB162" s="333" t="e">
        <f>HLOOKUP(BB$116+50,Kostengegevens!$AK$74:$BN$135,Stappen!$AA162,FALSE)*F168/F162</f>
        <v>#DIV/0!</v>
      </c>
      <c r="BC162" s="333" t="e">
        <f>HLOOKUP(BC$116+50,Kostengegevens!$AK$74:$BN$135,Stappen!$AA162,FALSE)*F168/F162</f>
        <v>#DIV/0!</v>
      </c>
      <c r="BD162" s="35">
        <f>HLOOKUP(BD$116+50,Kostengegevens!$AK$74:$BN$135,Stappen!$AA162,FALSE)</f>
        <v>3.1675000000007003E-2</v>
      </c>
      <c r="BE162" s="3"/>
      <c r="BG162" s="2">
        <v>13</v>
      </c>
      <c r="BH162" s="57">
        <v>47</v>
      </c>
      <c r="BI162" s="35">
        <f t="shared" si="203"/>
        <v>0</v>
      </c>
      <c r="BJ162" s="56">
        <f t="shared" si="204"/>
        <v>0</v>
      </c>
      <c r="BK162" s="47" t="s">
        <v>22</v>
      </c>
      <c r="BL162" s="102">
        <v>0</v>
      </c>
      <c r="BM162" s="102">
        <v>0</v>
      </c>
      <c r="BN162" s="102">
        <v>1</v>
      </c>
      <c r="BO162" s="102">
        <v>1</v>
      </c>
      <c r="BP162" s="102">
        <v>0</v>
      </c>
      <c r="BR162" s="2">
        <v>5</v>
      </c>
      <c r="BS162" s="2">
        <v>5</v>
      </c>
      <c r="BT162" s="2">
        <v>2</v>
      </c>
      <c r="BU162" s="2">
        <v>2</v>
      </c>
      <c r="CA162" s="503"/>
      <c r="CB162" s="502"/>
      <c r="CC162" s="426">
        <f t="shared" si="205"/>
        <v>0</v>
      </c>
      <c r="CD162" s="429">
        <f t="shared" si="206"/>
        <v>0</v>
      </c>
      <c r="CE162" s="459" t="s">
        <v>22</v>
      </c>
      <c r="CF162" s="460"/>
      <c r="CG162" s="503"/>
      <c r="CH162" s="502"/>
      <c r="CI162" s="426">
        <f t="shared" si="207"/>
        <v>0</v>
      </c>
      <c r="CJ162" s="429">
        <f t="shared" si="208"/>
        <v>0</v>
      </c>
      <c r="CK162" s="459" t="s">
        <v>22</v>
      </c>
      <c r="CL162" s="460"/>
      <c r="CM162" s="503"/>
      <c r="CN162" s="502"/>
      <c r="CO162" s="426">
        <f t="shared" si="209"/>
        <v>0</v>
      </c>
      <c r="CP162" s="429">
        <f t="shared" si="210"/>
        <v>0</v>
      </c>
      <c r="CQ162" s="459" t="s">
        <v>22</v>
      </c>
      <c r="CR162" s="460"/>
      <c r="CS162" s="503"/>
      <c r="CT162" s="502"/>
      <c r="CU162" s="426">
        <f t="shared" si="211"/>
        <v>0</v>
      </c>
      <c r="CV162" s="429">
        <f t="shared" si="212"/>
        <v>0</v>
      </c>
      <c r="CW162" s="459" t="s">
        <v>22</v>
      </c>
      <c r="CX162" s="460"/>
      <c r="CY162" s="503"/>
      <c r="CZ162" s="502"/>
      <c r="DA162" s="426"/>
      <c r="DB162" s="429"/>
      <c r="DC162" s="459"/>
      <c r="DD162" s="460"/>
    </row>
    <row r="163" spans="1:108" x14ac:dyDescent="0.2">
      <c r="A163" s="49"/>
      <c r="B163" s="33">
        <v>63</v>
      </c>
      <c r="C163" s="212" t="s">
        <v>323</v>
      </c>
      <c r="D163" s="503"/>
      <c r="E163" s="502"/>
      <c r="F163" s="426">
        <f t="shared" si="200"/>
        <v>150</v>
      </c>
      <c r="G163" s="429">
        <f t="shared" si="201"/>
        <v>150</v>
      </c>
      <c r="H163" s="459" t="s">
        <v>22</v>
      </c>
      <c r="I163" s="460"/>
      <c r="J163" s="156">
        <f t="shared" si="202"/>
        <v>4659.1393800001242</v>
      </c>
      <c r="K163" s="9">
        <f t="shared" si="90"/>
        <v>690.84277499974291</v>
      </c>
      <c r="L163" s="27">
        <f t="shared" si="91"/>
        <v>1521.1009800000738</v>
      </c>
      <c r="M163" s="12">
        <f t="shared" si="92"/>
        <v>24433.618575000764</v>
      </c>
      <c r="N163" s="9">
        <f t="shared" si="93"/>
        <v>207.19885499995598</v>
      </c>
      <c r="O163" s="27">
        <f t="shared" si="94"/>
        <v>1309.9724789996628</v>
      </c>
      <c r="T163" s="91" t="str">
        <f>CONCATENATE("ref: ",Referentieproject!T163)</f>
        <v>ref: 1 woningbouw</v>
      </c>
      <c r="U163" s="263" t="s">
        <v>68</v>
      </c>
      <c r="V163" s="263" t="s">
        <v>125</v>
      </c>
      <c r="W163" s="263" t="s">
        <v>126</v>
      </c>
      <c r="X163" s="263" t="s">
        <v>127</v>
      </c>
      <c r="Y163" s="263" t="s">
        <v>62</v>
      </c>
      <c r="Z163" s="2">
        <f>IF(D243=T163,Referentieproject!Z163,IF(D243=U163,1,IF(D243=V163,2,IF(D243=W163,3,IF(D243=X163,4,5)))))</f>
        <v>1</v>
      </c>
      <c r="AA163" s="35">
        <f t="shared" si="95"/>
        <v>48</v>
      </c>
      <c r="AB163" s="35">
        <f>HLOOKUP(AB$116,Kostengegevens!$AK$74:$BN$135,Stappen!$AA163,FALSE)</f>
        <v>31.060929200000828</v>
      </c>
      <c r="AC163" s="35">
        <f>HLOOKUP(AC$116,Kostengegevens!$AK$74:$BN$135,Stappen!$AA163,FALSE)</f>
        <v>49.700597000001835</v>
      </c>
      <c r="AD163" s="35">
        <f>HLOOKUP(AD$116,Kostengegevens!$AK$74:$BN$135,Stappen!$AA163,FALSE)</f>
        <v>61.722083000005114</v>
      </c>
      <c r="AE163" s="35">
        <f>HLOOKUP(AE$116,Kostengegevens!$AK$74:$BN$135,Stappen!$AA163,FALSE)</f>
        <v>61.722083000005114</v>
      </c>
      <c r="AF163" s="3"/>
      <c r="AG163" s="35">
        <f>HLOOKUP(AG$116+10,Kostengegevens!$AK$74:$BN$135,Stappen!$AA163,FALSE)</f>
        <v>4.6056184999982861</v>
      </c>
      <c r="AH163" s="35">
        <f>HLOOKUP(AH$116+10,Kostengegevens!$AK$74:$BN$135,Stappen!$AA163,FALSE)</f>
        <v>14.010578000001146</v>
      </c>
      <c r="AI163" s="35">
        <f>HLOOKUP(AI$116+10,Kostengegevens!$AK$74:$BN$135,Stappen!$AA163,FALSE)</f>
        <v>19.230662000001644</v>
      </c>
      <c r="AJ163" s="35">
        <f>HLOOKUP(AJ$116+10,Kostengegevens!$AK$74:$BN$135,Stappen!$AA163,FALSE)</f>
        <v>19.230662000001644</v>
      </c>
      <c r="AK163" s="3"/>
      <c r="AL163" s="35">
        <f>HLOOKUP(AL$116+20,Kostengegevens!$AK$74:$BN$135,Stappen!$AA163,FALSE)</f>
        <v>10.140673200000492</v>
      </c>
      <c r="AM163" s="35">
        <f>HLOOKUP(AM$116+20,Kostengegevens!$AK$74:$BN$135,Stappen!$AA163,FALSE)</f>
        <v>40.734199999989869</v>
      </c>
      <c r="AN163" s="35">
        <f>HLOOKUP(AN$116+20,Kostengegevens!$AK$74:$BN$135,Stappen!$AA163,FALSE)</f>
        <v>58.436913999991702</v>
      </c>
      <c r="AO163" s="35">
        <f>HLOOKUP(AO$116+20,Kostengegevens!$AK$74:$BN$135,Stappen!$AA163,FALSE)</f>
        <v>58.436913999991702</v>
      </c>
      <c r="AP163" s="3"/>
      <c r="AQ163" s="35">
        <f>HLOOKUP(AQ$116+30,Kostengegevens!$AK$74:$BN$135,Stappen!$AA163,FALSE)</f>
        <v>162.8907905000051</v>
      </c>
      <c r="AR163" s="35">
        <f>HLOOKUP(AR$116+30,Kostengegevens!$AK$74:$BN$135,Stappen!$AA163,FALSE)</f>
        <v>683.43471499996303</v>
      </c>
      <c r="AS163" s="35">
        <f>HLOOKUP(AS$116+30,Kostengegevens!$AK$74:$BN$135,Stappen!$AA163,FALSE)</f>
        <v>978.47427449997485</v>
      </c>
      <c r="AT163" s="35">
        <f>HLOOKUP(AT$116+30,Kostengegevens!$AK$74:$BN$135,Stappen!$AA163,FALSE)</f>
        <v>978.47427449997485</v>
      </c>
      <c r="AU163" s="3"/>
      <c r="AV163" s="35">
        <f>HLOOKUP(AV$116+40,Kostengegevens!$AK$74:$BN$135,Stappen!$AA163,FALSE)</f>
        <v>1.3813256999997066</v>
      </c>
      <c r="AW163" s="35">
        <f>HLOOKUP(AW$116+40,Kostengegevens!$AK$74:$BN$135,Stappen!$AA163,FALSE)</f>
        <v>4.5145850000001246</v>
      </c>
      <c r="AX163" s="35">
        <f>HLOOKUP(AX$116+40,Kostengegevens!$AK$74:$BN$135,Stappen!$AA163,FALSE)</f>
        <v>6.3894280000000663</v>
      </c>
      <c r="AY163" s="35">
        <f>HLOOKUP(AY$116+40,Kostengegevens!$AK$74:$BN$135,Stappen!$AA163,FALSE)</f>
        <v>6.3894280000000663</v>
      </c>
      <c r="AZ163" s="3"/>
      <c r="BA163" s="35">
        <f>HLOOKUP(BA$116+50,Kostengegevens!$AK$74:$BN$135,Stappen!$AA163,FALSE)</f>
        <v>8.7331498599977522</v>
      </c>
      <c r="BB163" s="35">
        <f>HLOOKUP(BB$116+50,Kostengegevens!$AK$74:$BN$135,Stappen!$AA163,FALSE)</f>
        <v>17.291882060000091</v>
      </c>
      <c r="BC163" s="35">
        <f>HLOOKUP(BC$116+50,Kostengegevens!$AK$74:$BN$135,Stappen!$AA163,FALSE)</f>
        <v>21.202785559999427</v>
      </c>
      <c r="BD163" s="35">
        <f>HLOOKUP(BD$116+50,Kostengegevens!$AK$74:$BN$135,Stappen!$AA163,FALSE)</f>
        <v>21.202785559999427</v>
      </c>
      <c r="BE163" s="3"/>
      <c r="BG163" s="2">
        <v>13</v>
      </c>
      <c r="BH163" s="57">
        <v>48</v>
      </c>
      <c r="BI163" s="35">
        <f t="shared" si="203"/>
        <v>150</v>
      </c>
      <c r="BJ163" s="56">
        <f t="shared" si="204"/>
        <v>150</v>
      </c>
      <c r="BK163" s="47" t="s">
        <v>22</v>
      </c>
      <c r="BL163" s="102">
        <v>1</v>
      </c>
      <c r="BM163" s="102">
        <v>1</v>
      </c>
      <c r="BN163" s="102">
        <v>1</v>
      </c>
      <c r="BO163" s="102">
        <v>1</v>
      </c>
      <c r="BP163" s="102">
        <v>1</v>
      </c>
      <c r="BR163" s="2">
        <v>1</v>
      </c>
      <c r="BS163" s="2">
        <v>1</v>
      </c>
      <c r="BT163" s="2">
        <v>2</v>
      </c>
      <c r="BU163" s="2">
        <v>2</v>
      </c>
      <c r="CA163" s="503"/>
      <c r="CB163" s="502"/>
      <c r="CC163" s="426">
        <f t="shared" si="205"/>
        <v>0</v>
      </c>
      <c r="CD163" s="429">
        <f t="shared" si="206"/>
        <v>0</v>
      </c>
      <c r="CE163" s="459" t="s">
        <v>22</v>
      </c>
      <c r="CF163" s="460"/>
      <c r="CG163" s="503"/>
      <c r="CH163" s="502"/>
      <c r="CI163" s="426">
        <f t="shared" si="207"/>
        <v>0</v>
      </c>
      <c r="CJ163" s="429">
        <f t="shared" si="208"/>
        <v>0</v>
      </c>
      <c r="CK163" s="459" t="s">
        <v>22</v>
      </c>
      <c r="CL163" s="460"/>
      <c r="CM163" s="503"/>
      <c r="CN163" s="502"/>
      <c r="CO163" s="426">
        <f t="shared" si="209"/>
        <v>0</v>
      </c>
      <c r="CP163" s="429">
        <f t="shared" si="210"/>
        <v>0</v>
      </c>
      <c r="CQ163" s="459" t="s">
        <v>22</v>
      </c>
      <c r="CR163" s="460"/>
      <c r="CS163" s="503"/>
      <c r="CT163" s="502"/>
      <c r="CU163" s="426">
        <f t="shared" si="211"/>
        <v>0</v>
      </c>
      <c r="CV163" s="429">
        <f t="shared" si="212"/>
        <v>0</v>
      </c>
      <c r="CW163" s="459" t="s">
        <v>22</v>
      </c>
      <c r="CX163" s="460"/>
      <c r="CY163" s="503"/>
      <c r="CZ163" s="502"/>
      <c r="DA163" s="426"/>
      <c r="DB163" s="429"/>
      <c r="DC163" s="459"/>
      <c r="DD163" s="460"/>
    </row>
    <row r="164" spans="1:108" x14ac:dyDescent="0.2">
      <c r="A164" s="49"/>
      <c r="B164" s="33">
        <v>64</v>
      </c>
      <c r="C164" s="212" t="s">
        <v>324</v>
      </c>
      <c r="D164" s="503"/>
      <c r="E164" s="502"/>
      <c r="F164" s="426">
        <f t="shared" si="200"/>
        <v>150</v>
      </c>
      <c r="G164" s="429">
        <f t="shared" si="201"/>
        <v>150</v>
      </c>
      <c r="H164" s="459" t="s">
        <v>22</v>
      </c>
      <c r="I164" s="460"/>
      <c r="J164" s="156">
        <f t="shared" si="202"/>
        <v>657.4548750005988</v>
      </c>
      <c r="K164" s="9">
        <f t="shared" si="90"/>
        <v>65.127000000131829</v>
      </c>
      <c r="L164" s="27">
        <f t="shared" si="91"/>
        <v>192.53400000025067</v>
      </c>
      <c r="M164" s="12">
        <f t="shared" si="92"/>
        <v>3587.239125000815</v>
      </c>
      <c r="N164" s="9">
        <f t="shared" si="93"/>
        <v>19.618874999980562</v>
      </c>
      <c r="O164" s="27">
        <f t="shared" si="94"/>
        <v>58.905000000015661</v>
      </c>
      <c r="T164" s="91" t="str">
        <f>CONCATENATE("ref: ",Referentieproject!T164)</f>
        <v>ref: 1 woningbouw</v>
      </c>
      <c r="U164" s="263" t="s">
        <v>68</v>
      </c>
      <c r="V164" s="263" t="s">
        <v>128</v>
      </c>
      <c r="W164" s="263" t="s">
        <v>126</v>
      </c>
      <c r="X164" s="263" t="s">
        <v>129</v>
      </c>
      <c r="Y164" s="263" t="s">
        <v>62</v>
      </c>
      <c r="Z164" s="2">
        <f>IF(D244=T164,Referentieproject!Z164,IF(D244=U164,1,IF(D244=V164,2,IF(D244=W164,3,IF(D244=X164,4,5)))))</f>
        <v>1</v>
      </c>
      <c r="AA164" s="35">
        <f t="shared" si="95"/>
        <v>49</v>
      </c>
      <c r="AB164" s="35">
        <f>HLOOKUP(AB$116,Kostengegevens!$AK$74:$BN$135,Stappen!$AA164,FALSE)</f>
        <v>4.383032500003992</v>
      </c>
      <c r="AC164" s="35">
        <f>HLOOKUP(AC$116,Kostengegevens!$AK$74:$BN$135,Stappen!$AA164,FALSE)</f>
        <v>4.383032500003992</v>
      </c>
      <c r="AD164" s="35">
        <f>HLOOKUP(AD$116,Kostengegevens!$AK$74:$BN$135,Stappen!$AA164,FALSE)</f>
        <v>18.716365833336567</v>
      </c>
      <c r="AE164" s="35">
        <f>HLOOKUP(AE$116,Kostengegevens!$AK$74:$BN$135,Stappen!$AA164,FALSE)</f>
        <v>17.84908583333754</v>
      </c>
      <c r="AF164" s="3"/>
      <c r="AG164" s="35">
        <f>HLOOKUP(AG$116+10,Kostengegevens!$AK$74:$BN$135,Stappen!$AA164,FALSE)</f>
        <v>0.43418000000087886</v>
      </c>
      <c r="AH164" s="35">
        <f>HLOOKUP(AH$116+10,Kostengegevens!$AK$74:$BN$135,Stappen!$AA164,FALSE)</f>
        <v>0.43418000000087886</v>
      </c>
      <c r="AI164" s="35">
        <f>HLOOKUP(AI$116+10,Kostengegevens!$AK$74:$BN$135,Stappen!$AA164,FALSE)</f>
        <v>3.3008466666665299</v>
      </c>
      <c r="AJ164" s="35">
        <f>HLOOKUP(AJ$116+10,Kostengegevens!$AK$74:$BN$135,Stappen!$AA164,FALSE)</f>
        <v>2.7664066666674216</v>
      </c>
      <c r="AK164" s="3"/>
      <c r="AL164" s="35">
        <f>HLOOKUP(AL$116+20,Kostengegevens!$AK$74:$BN$135,Stappen!$AA164,FALSE)</f>
        <v>1.2835600000016711</v>
      </c>
      <c r="AM164" s="35">
        <f>HLOOKUP(AM$116+20,Kostengegevens!$AK$74:$BN$135,Stappen!$AA164,FALSE)</f>
        <v>1.2835600000016711</v>
      </c>
      <c r="AN164" s="35">
        <f>HLOOKUP(AN$116+20,Kostengegevens!$AK$74:$BN$135,Stappen!$AA164,FALSE)</f>
        <v>9.5207660857554401</v>
      </c>
      <c r="AO164" s="35">
        <f>HLOOKUP(AO$116+20,Kostengegevens!$AK$74:$BN$135,Stappen!$AA164,FALSE)</f>
        <v>9.0235406085771501</v>
      </c>
      <c r="AP164" s="3"/>
      <c r="AQ164" s="35">
        <f>HLOOKUP(AQ$116+30,Kostengegevens!$AK$74:$BN$135,Stappen!$AA164,FALSE)</f>
        <v>23.914927500005433</v>
      </c>
      <c r="AR164" s="35">
        <f>HLOOKUP(AR$116+30,Kostengegevens!$AK$74:$BN$135,Stappen!$AA164,FALSE)</f>
        <v>23.914927500005433</v>
      </c>
      <c r="AS164" s="35">
        <f>HLOOKUP(AS$116+30,Kostengegevens!$AK$74:$BN$135,Stappen!$AA164,FALSE)</f>
        <v>161.24134520399457</v>
      </c>
      <c r="AT164" s="35">
        <f>HLOOKUP(AT$116+30,Kostengegevens!$AK$74:$BN$135,Stappen!$AA164,FALSE)</f>
        <v>152.95348927039959</v>
      </c>
      <c r="AU164" s="3"/>
      <c r="AV164" s="35">
        <f>HLOOKUP(AV$116+40,Kostengegevens!$AK$74:$BN$135,Stappen!$AA164,FALSE)</f>
        <v>0.13079249999987042</v>
      </c>
      <c r="AW164" s="35">
        <f>HLOOKUP(AW$116+40,Kostengegevens!$AK$74:$BN$135,Stappen!$AA164,FALSE)</f>
        <v>0.13079249999987042</v>
      </c>
      <c r="AX164" s="35">
        <f>HLOOKUP(AX$116+40,Kostengegevens!$AK$74:$BN$135,Stappen!$AA164,FALSE)</f>
        <v>0.99317147648662285</v>
      </c>
      <c r="AY164" s="35">
        <f>HLOOKUP(AY$116+40,Kostengegevens!$AK$74:$BN$135,Stappen!$AA164,FALSE)</f>
        <v>0.94945039764854755</v>
      </c>
      <c r="AZ164" s="3"/>
      <c r="BA164" s="35">
        <f>HLOOKUP(BA$116+50,Kostengegevens!$AK$74:$BN$135,Stappen!$AA164,FALSE)</f>
        <v>0.39270000000010441</v>
      </c>
      <c r="BB164" s="35">
        <f>HLOOKUP(BB$116+50,Kostengegevens!$AK$74:$BN$135,Stappen!$AA164,FALSE)</f>
        <v>0.39270000000010441</v>
      </c>
      <c r="BC164" s="35">
        <f>HLOOKUP(BC$116+50,Kostengegevens!$AK$74:$BN$135,Stappen!$AA164,FALSE)</f>
        <v>2.2364067773167449</v>
      </c>
      <c r="BD164" s="35">
        <f>HLOOKUP(BD$116+50,Kostengegevens!$AK$74:$BN$135,Stappen!$AA164,FALSE)</f>
        <v>0.57769067773182314</v>
      </c>
      <c r="BE164" s="3"/>
      <c r="BG164" s="2">
        <v>13</v>
      </c>
      <c r="BH164" s="57">
        <v>49</v>
      </c>
      <c r="BI164" s="35">
        <f t="shared" si="203"/>
        <v>150</v>
      </c>
      <c r="BJ164" s="56">
        <f t="shared" si="204"/>
        <v>150</v>
      </c>
      <c r="BK164" s="47" t="s">
        <v>22</v>
      </c>
      <c r="BL164" s="102">
        <v>1</v>
      </c>
      <c r="BM164" s="102">
        <v>1</v>
      </c>
      <c r="BN164" s="102">
        <v>1</v>
      </c>
      <c r="BO164" s="102">
        <v>1</v>
      </c>
      <c r="BP164" s="102">
        <v>1</v>
      </c>
      <c r="BR164" s="2">
        <v>1</v>
      </c>
      <c r="BS164" s="2">
        <v>1</v>
      </c>
      <c r="BT164" s="2">
        <v>2</v>
      </c>
      <c r="BU164" s="2">
        <v>2</v>
      </c>
      <c r="CA164" s="503"/>
      <c r="CB164" s="502"/>
      <c r="CC164" s="426">
        <f t="shared" si="205"/>
        <v>0</v>
      </c>
      <c r="CD164" s="429">
        <f t="shared" si="206"/>
        <v>0</v>
      </c>
      <c r="CE164" s="459" t="s">
        <v>22</v>
      </c>
      <c r="CF164" s="460"/>
      <c r="CG164" s="503"/>
      <c r="CH164" s="502"/>
      <c r="CI164" s="426">
        <f t="shared" si="207"/>
        <v>0</v>
      </c>
      <c r="CJ164" s="429">
        <f t="shared" si="208"/>
        <v>0</v>
      </c>
      <c r="CK164" s="459" t="s">
        <v>22</v>
      </c>
      <c r="CL164" s="460"/>
      <c r="CM164" s="503"/>
      <c r="CN164" s="502"/>
      <c r="CO164" s="426">
        <f t="shared" si="209"/>
        <v>0</v>
      </c>
      <c r="CP164" s="429">
        <f t="shared" si="210"/>
        <v>0</v>
      </c>
      <c r="CQ164" s="459" t="s">
        <v>22</v>
      </c>
      <c r="CR164" s="460"/>
      <c r="CS164" s="503"/>
      <c r="CT164" s="502"/>
      <c r="CU164" s="426">
        <f t="shared" si="211"/>
        <v>0</v>
      </c>
      <c r="CV164" s="429">
        <f t="shared" si="212"/>
        <v>0</v>
      </c>
      <c r="CW164" s="459" t="s">
        <v>22</v>
      </c>
      <c r="CX164" s="460"/>
      <c r="CY164" s="503"/>
      <c r="CZ164" s="502"/>
      <c r="DA164" s="426"/>
      <c r="DB164" s="429"/>
      <c r="DC164" s="459"/>
      <c r="DD164" s="460"/>
    </row>
    <row r="165" spans="1:108" x14ac:dyDescent="0.2">
      <c r="A165" s="49"/>
      <c r="B165" s="33">
        <v>65</v>
      </c>
      <c r="C165" s="212" t="s">
        <v>325</v>
      </c>
      <c r="D165" s="503"/>
      <c r="E165" s="502"/>
      <c r="F165" s="426">
        <f t="shared" si="200"/>
        <v>150</v>
      </c>
      <c r="G165" s="429">
        <f t="shared" si="201"/>
        <v>150</v>
      </c>
      <c r="H165" s="459" t="s">
        <v>22</v>
      </c>
      <c r="I165" s="460"/>
      <c r="J165" s="156">
        <f t="shared" si="202"/>
        <v>206.75400000015998</v>
      </c>
      <c r="K165" s="9">
        <f t="shared" si="90"/>
        <v>35.151749999977255</v>
      </c>
      <c r="L165" s="27">
        <f t="shared" si="91"/>
        <v>118.84274999999889</v>
      </c>
      <c r="M165" s="12">
        <f t="shared" si="92"/>
        <v>1981.3117499994405</v>
      </c>
      <c r="N165" s="9">
        <f t="shared" si="93"/>
        <v>12.584249999980557</v>
      </c>
      <c r="O165" s="27">
        <f t="shared" si="94"/>
        <v>26.774999999997817</v>
      </c>
      <c r="T165" s="91" t="str">
        <f>CONCATENATE("ref: ",Referentieproject!T165)</f>
        <v>ref: 1 woningbouw (alleen brand)</v>
      </c>
      <c r="U165" s="263" t="s">
        <v>130</v>
      </c>
      <c r="V165" s="263" t="s">
        <v>131</v>
      </c>
      <c r="W165" s="263" t="s">
        <v>132</v>
      </c>
      <c r="X165" s="263" t="s">
        <v>133</v>
      </c>
      <c r="Y165" s="263" t="s">
        <v>62</v>
      </c>
      <c r="Z165" s="2">
        <f>IF(D245=T165,Referentieproject!Z165,IF(D245=U165,1,IF(D245=V165,2,IF(D245=W165,3,IF(D245=X165,4,5)))))</f>
        <v>1</v>
      </c>
      <c r="AA165" s="35">
        <f t="shared" si="95"/>
        <v>50</v>
      </c>
      <c r="AB165" s="35">
        <f>HLOOKUP(AB$116,Kostengegevens!$AK$74:$BN$135,Stappen!$AA165,FALSE)</f>
        <v>1.3783600000010665</v>
      </c>
      <c r="AC165" s="35">
        <f>HLOOKUP(AC$116,Kostengegevens!$AK$74:$BN$135,Stappen!$AA165,FALSE)</f>
        <v>19.126949999998487</v>
      </c>
      <c r="AD165" s="35">
        <f>HLOOKUP(AD$116,Kostengegevens!$AK$74:$BN$135,Stappen!$AA165,FALSE)</f>
        <v>24.421094999999696</v>
      </c>
      <c r="AE165" s="35">
        <f>HLOOKUP(AE$116,Kostengegevens!$AK$74:$BN$135,Stappen!$AA165,FALSE)</f>
        <v>58.850354999997762</v>
      </c>
      <c r="AF165" s="3"/>
      <c r="AG165" s="35">
        <f>HLOOKUP(AG$116+10,Kostengegevens!$AK$74:$BN$135,Stappen!$AA165,FALSE)</f>
        <v>0.23434499999984837</v>
      </c>
      <c r="AH165" s="35">
        <f>HLOOKUP(AH$116+10,Kostengegevens!$AK$74:$BN$135,Stappen!$AA165,FALSE)</f>
        <v>3.8254366666664055</v>
      </c>
      <c r="AI165" s="35">
        <f>HLOOKUP(AI$116+10,Kostengegevens!$AK$74:$BN$135,Stappen!$AA165,FALSE)</f>
        <v>4.976474999999823</v>
      </c>
      <c r="AJ165" s="35">
        <f>HLOOKUP(AJ$116+10,Kostengegevens!$AK$74:$BN$135,Stappen!$AA165,FALSE)</f>
        <v>11.395059999999489</v>
      </c>
      <c r="AK165" s="3"/>
      <c r="AL165" s="35">
        <f>HLOOKUP(AL$116+20,Kostengegevens!$AK$74:$BN$135,Stappen!$AA165,FALSE)</f>
        <v>0.79228499999999258</v>
      </c>
      <c r="AM165" s="35">
        <f>HLOOKUP(AM$116+20,Kostengegevens!$AK$74:$BN$135,Stappen!$AA165,FALSE)</f>
        <v>19.333810968187208</v>
      </c>
      <c r="AN165" s="35">
        <f>HLOOKUP(AN$116+20,Kostengegevens!$AK$74:$BN$135,Stappen!$AA165,FALSE)</f>
        <v>17.848400373443837</v>
      </c>
      <c r="AO165" s="35">
        <f>HLOOKUP(AO$116+20,Kostengegevens!$AK$74:$BN$135,Stappen!$AA165,FALSE)</f>
        <v>37.637162925310349</v>
      </c>
      <c r="AP165" s="3"/>
      <c r="AQ165" s="35">
        <f>HLOOKUP(AQ$116+30,Kostengegevens!$AK$74:$BN$135,Stappen!$AA165,FALSE)</f>
        <v>13.20874499999627</v>
      </c>
      <c r="AR165" s="35">
        <f>HLOOKUP(AR$116+30,Kostengegevens!$AK$74:$BN$135,Stappen!$AA165,FALSE)</f>
        <v>322.32704827109046</v>
      </c>
      <c r="AS165" s="35">
        <f>HLOOKUP(AS$116+30,Kostengegevens!$AK$74:$BN$135,Stappen!$AA165,FALSE)</f>
        <v>295.25679790456707</v>
      </c>
      <c r="AT165" s="35">
        <f>HLOOKUP(AT$116+30,Kostengegevens!$AK$74:$BN$135,Stappen!$AA165,FALSE)</f>
        <v>625.16815941910318</v>
      </c>
      <c r="AU165" s="3"/>
      <c r="AV165" s="35">
        <f>HLOOKUP(AV$116+40,Kostengegevens!$AK$74:$BN$135,Stappen!$AA165,FALSE)</f>
        <v>8.3894999999870379E-2</v>
      </c>
      <c r="AW165" s="35">
        <f>HLOOKUP(AW$116+40,Kostengegevens!$AK$74:$BN$135,Stappen!$AA165,FALSE)</f>
        <v>2.0450705947440611</v>
      </c>
      <c r="AX165" s="35">
        <f>HLOOKUP(AX$116+40,Kostengegevens!$AK$74:$BN$135,Stappen!$AA165,FALSE)</f>
        <v>1.8862978008298796</v>
      </c>
      <c r="AY165" s="35">
        <f>HLOOKUP(AY$116+40,Kostengegevens!$AK$74:$BN$135,Stappen!$AA165,FALSE)</f>
        <v>3.9765294398340529</v>
      </c>
      <c r="AZ165" s="3"/>
      <c r="BA165" s="35">
        <f>HLOOKUP(BA$116+50,Kostengegevens!$AK$74:$BN$135,Stappen!$AA165,FALSE)</f>
        <v>0.17849999999998545</v>
      </c>
      <c r="BB165" s="35">
        <f>HLOOKUP(BB$116+50,Kostengegevens!$AK$74:$BN$135,Stappen!$AA165,FALSE)</f>
        <v>4.4826175933610557</v>
      </c>
      <c r="BC165" s="35">
        <f>HLOOKUP(BC$116+50,Kostengegevens!$AK$74:$BN$135,Stappen!$AA165,FALSE)</f>
        <v>4.1111936431534559</v>
      </c>
      <c r="BD165" s="35">
        <f>HLOOKUP(BD$116+50,Kostengegevens!$AK$74:$BN$135,Stappen!$AA165,FALSE)</f>
        <v>5.7465707213693804</v>
      </c>
      <c r="BE165" s="3"/>
      <c r="BG165" s="2">
        <v>13</v>
      </c>
      <c r="BH165" s="57">
        <v>50</v>
      </c>
      <c r="BI165" s="35">
        <f t="shared" si="203"/>
        <v>150</v>
      </c>
      <c r="BJ165" s="56">
        <f t="shared" si="204"/>
        <v>150</v>
      </c>
      <c r="BK165" s="47" t="s">
        <v>22</v>
      </c>
      <c r="BL165" s="102">
        <v>1</v>
      </c>
      <c r="BM165" s="102">
        <v>1</v>
      </c>
      <c r="BN165" s="102">
        <v>1</v>
      </c>
      <c r="BO165" s="102">
        <v>1</v>
      </c>
      <c r="BP165" s="102">
        <v>1</v>
      </c>
      <c r="BR165" s="2">
        <v>1</v>
      </c>
      <c r="BS165" s="2">
        <v>1</v>
      </c>
      <c r="BT165" s="2">
        <v>3</v>
      </c>
      <c r="BU165" s="2">
        <v>3</v>
      </c>
      <c r="CA165" s="503"/>
      <c r="CB165" s="502"/>
      <c r="CC165" s="426">
        <f t="shared" si="205"/>
        <v>0</v>
      </c>
      <c r="CD165" s="429">
        <f t="shared" si="206"/>
        <v>0</v>
      </c>
      <c r="CE165" s="459" t="s">
        <v>22</v>
      </c>
      <c r="CF165" s="460"/>
      <c r="CG165" s="503"/>
      <c r="CH165" s="502"/>
      <c r="CI165" s="426">
        <f t="shared" si="207"/>
        <v>0</v>
      </c>
      <c r="CJ165" s="429">
        <f t="shared" si="208"/>
        <v>0</v>
      </c>
      <c r="CK165" s="459" t="s">
        <v>22</v>
      </c>
      <c r="CL165" s="460"/>
      <c r="CM165" s="503"/>
      <c r="CN165" s="502"/>
      <c r="CO165" s="426">
        <f t="shared" si="209"/>
        <v>0</v>
      </c>
      <c r="CP165" s="429">
        <f t="shared" si="210"/>
        <v>0</v>
      </c>
      <c r="CQ165" s="459" t="s">
        <v>22</v>
      </c>
      <c r="CR165" s="460"/>
      <c r="CS165" s="503"/>
      <c r="CT165" s="502"/>
      <c r="CU165" s="426">
        <f t="shared" si="211"/>
        <v>0</v>
      </c>
      <c r="CV165" s="429">
        <f t="shared" si="212"/>
        <v>0</v>
      </c>
      <c r="CW165" s="459" t="s">
        <v>22</v>
      </c>
      <c r="CX165" s="460"/>
      <c r="CY165" s="503"/>
      <c r="CZ165" s="502"/>
      <c r="DA165" s="426"/>
      <c r="DB165" s="429"/>
      <c r="DC165" s="459"/>
      <c r="DD165" s="460"/>
    </row>
    <row r="166" spans="1:108" x14ac:dyDescent="0.2">
      <c r="A166" s="49"/>
      <c r="B166" s="33">
        <v>67</v>
      </c>
      <c r="C166" s="212" t="s">
        <v>326</v>
      </c>
      <c r="D166" s="503"/>
      <c r="E166" s="502"/>
      <c r="F166" s="426">
        <f t="shared" si="200"/>
        <v>0</v>
      </c>
      <c r="G166" s="429">
        <f t="shared" si="201"/>
        <v>0</v>
      </c>
      <c r="H166" s="459" t="s">
        <v>22</v>
      </c>
      <c r="I166" s="460"/>
      <c r="J166" s="156">
        <f t="shared" si="202"/>
        <v>0</v>
      </c>
      <c r="K166" s="9">
        <f t="shared" si="90"/>
        <v>0</v>
      </c>
      <c r="L166" s="27">
        <f t="shared" si="91"/>
        <v>0</v>
      </c>
      <c r="M166" s="12">
        <f t="shared" si="92"/>
        <v>0</v>
      </c>
      <c r="N166" s="9">
        <f t="shared" si="93"/>
        <v>0</v>
      </c>
      <c r="O166" s="27">
        <f t="shared" si="94"/>
        <v>0</v>
      </c>
      <c r="T166" s="91" t="str">
        <f>CONCATENATE("ref: ",Referentieproject!T166)</f>
        <v>ref: 5 n.v.t.</v>
      </c>
      <c r="U166" s="263" t="s">
        <v>121</v>
      </c>
      <c r="V166" s="263" t="s">
        <v>106</v>
      </c>
      <c r="W166" s="263" t="s">
        <v>83</v>
      </c>
      <c r="X166" s="263" t="s">
        <v>84</v>
      </c>
      <c r="Y166" s="263" t="s">
        <v>62</v>
      </c>
      <c r="Z166" s="2">
        <f>IF(D246=T166,Referentieproject!Z166,IF(D246=U166,1,IF(D246=V166,2,IF(D246=W166,3,IF(D246=X166,4,5)))))</f>
        <v>5</v>
      </c>
      <c r="AA166" s="35">
        <f t="shared" si="95"/>
        <v>51</v>
      </c>
      <c r="AB166" s="35">
        <f>HLOOKUP(AB$116,Kostengegevens!$AK$74:$BN$135,Stappen!$AA166,FALSE)</f>
        <v>0</v>
      </c>
      <c r="AC166" s="35">
        <f>HLOOKUP(AC$116,Kostengegevens!$AK$74:$BN$135,Stappen!$AA166,FALSE)</f>
        <v>0</v>
      </c>
      <c r="AD166" s="35">
        <f>HLOOKUP(AD$116,Kostengegevens!$AK$74:$BN$135,Stappen!$AA166,FALSE)</f>
        <v>0</v>
      </c>
      <c r="AE166" s="35">
        <f>HLOOKUP(AE$116,Kostengegevens!$AK$74:$BN$135,Stappen!$AA166,FALSE)</f>
        <v>0</v>
      </c>
      <c r="AF166" s="3"/>
      <c r="AG166" s="35">
        <f>HLOOKUP(AG$116+10,Kostengegevens!$AK$74:$BN$135,Stappen!$AA166,FALSE)</f>
        <v>0</v>
      </c>
      <c r="AH166" s="35">
        <f>HLOOKUP(AH$116+10,Kostengegevens!$AK$74:$BN$135,Stappen!$AA166,FALSE)</f>
        <v>0</v>
      </c>
      <c r="AI166" s="35">
        <f>HLOOKUP(AI$116+10,Kostengegevens!$AK$74:$BN$135,Stappen!$AA166,FALSE)</f>
        <v>0</v>
      </c>
      <c r="AJ166" s="35">
        <f>HLOOKUP(AJ$116+10,Kostengegevens!$AK$74:$BN$135,Stappen!$AA166,FALSE)</f>
        <v>0</v>
      </c>
      <c r="AK166" s="3"/>
      <c r="AL166" s="35">
        <f>HLOOKUP(AL$116+20,Kostengegevens!$AK$74:$BN$135,Stappen!$AA166,FALSE)</f>
        <v>0</v>
      </c>
      <c r="AM166" s="35">
        <f>HLOOKUP(AM$116+20,Kostengegevens!$AK$74:$BN$135,Stappen!$AA166,FALSE)</f>
        <v>0</v>
      </c>
      <c r="AN166" s="35">
        <f>HLOOKUP(AN$116+20,Kostengegevens!$AK$74:$BN$135,Stappen!$AA166,FALSE)</f>
        <v>0</v>
      </c>
      <c r="AO166" s="35">
        <f>HLOOKUP(AO$116+20,Kostengegevens!$AK$74:$BN$135,Stappen!$AA166,FALSE)</f>
        <v>0</v>
      </c>
      <c r="AP166" s="3"/>
      <c r="AQ166" s="35">
        <f>HLOOKUP(AQ$116+30,Kostengegevens!$AK$74:$BN$135,Stappen!$AA166,FALSE)</f>
        <v>0</v>
      </c>
      <c r="AR166" s="35">
        <f>HLOOKUP(AR$116+30,Kostengegevens!$AK$74:$BN$135,Stappen!$AA166,FALSE)</f>
        <v>0</v>
      </c>
      <c r="AS166" s="35">
        <f>HLOOKUP(AS$116+30,Kostengegevens!$AK$74:$BN$135,Stappen!$AA166,FALSE)</f>
        <v>0</v>
      </c>
      <c r="AT166" s="35">
        <f>HLOOKUP(AT$116+30,Kostengegevens!$AK$74:$BN$135,Stappen!$AA166,FALSE)</f>
        <v>0</v>
      </c>
      <c r="AU166" s="3"/>
      <c r="AV166" s="35">
        <f>HLOOKUP(AV$116+40,Kostengegevens!$AK$74:$BN$135,Stappen!$AA166,FALSE)</f>
        <v>0</v>
      </c>
      <c r="AW166" s="35">
        <f>HLOOKUP(AW$116+40,Kostengegevens!$AK$74:$BN$135,Stappen!$AA166,FALSE)</f>
        <v>0</v>
      </c>
      <c r="AX166" s="35">
        <f>HLOOKUP(AX$116+40,Kostengegevens!$AK$74:$BN$135,Stappen!$AA166,FALSE)</f>
        <v>0</v>
      </c>
      <c r="AY166" s="35">
        <f>HLOOKUP(AY$116+40,Kostengegevens!$AK$74:$BN$135,Stappen!$AA166,FALSE)</f>
        <v>0</v>
      </c>
      <c r="AZ166" s="3"/>
      <c r="BA166" s="35">
        <f>HLOOKUP(BA$116+50,Kostengegevens!$AK$74:$BN$135,Stappen!$AA166,FALSE)</f>
        <v>0</v>
      </c>
      <c r="BB166" s="35">
        <f>HLOOKUP(BB$116+50,Kostengegevens!$AK$74:$BN$135,Stappen!$AA166,FALSE)</f>
        <v>0</v>
      </c>
      <c r="BC166" s="35">
        <f>HLOOKUP(BC$116+50,Kostengegevens!$AK$74:$BN$135,Stappen!$AA166,FALSE)</f>
        <v>0</v>
      </c>
      <c r="BD166" s="35">
        <f>HLOOKUP(BD$116+50,Kostengegevens!$AK$74:$BN$135,Stappen!$AA166,FALSE)</f>
        <v>0</v>
      </c>
      <c r="BE166" s="3"/>
      <c r="BG166" s="2">
        <v>13</v>
      </c>
      <c r="BH166" s="57">
        <v>51</v>
      </c>
      <c r="BI166" s="35">
        <f t="shared" si="203"/>
        <v>0</v>
      </c>
      <c r="BJ166" s="56">
        <f t="shared" si="204"/>
        <v>0</v>
      </c>
      <c r="BK166" s="47" t="s">
        <v>22</v>
      </c>
      <c r="BL166" s="102">
        <v>0</v>
      </c>
      <c r="BM166" s="102">
        <v>0</v>
      </c>
      <c r="BN166" s="102">
        <v>0</v>
      </c>
      <c r="BO166" s="102">
        <v>0</v>
      </c>
      <c r="BP166" s="102">
        <v>0</v>
      </c>
      <c r="BR166" s="2">
        <v>5</v>
      </c>
      <c r="BS166" s="2">
        <v>5</v>
      </c>
      <c r="BT166" s="2">
        <v>2</v>
      </c>
      <c r="BU166" s="2">
        <v>2</v>
      </c>
      <c r="CA166" s="503"/>
      <c r="CB166" s="502"/>
      <c r="CC166" s="426">
        <f t="shared" si="205"/>
        <v>0</v>
      </c>
      <c r="CD166" s="429">
        <f t="shared" si="206"/>
        <v>0</v>
      </c>
      <c r="CE166" s="459" t="s">
        <v>22</v>
      </c>
      <c r="CF166" s="460"/>
      <c r="CG166" s="503"/>
      <c r="CH166" s="502"/>
      <c r="CI166" s="426">
        <f t="shared" si="207"/>
        <v>0</v>
      </c>
      <c r="CJ166" s="429">
        <f t="shared" si="208"/>
        <v>0</v>
      </c>
      <c r="CK166" s="459" t="s">
        <v>22</v>
      </c>
      <c r="CL166" s="460"/>
      <c r="CM166" s="503"/>
      <c r="CN166" s="502"/>
      <c r="CO166" s="426">
        <f t="shared" si="209"/>
        <v>0</v>
      </c>
      <c r="CP166" s="429">
        <f t="shared" si="210"/>
        <v>0</v>
      </c>
      <c r="CQ166" s="459" t="s">
        <v>22</v>
      </c>
      <c r="CR166" s="460"/>
      <c r="CS166" s="503"/>
      <c r="CT166" s="502"/>
      <c r="CU166" s="426">
        <f t="shared" si="211"/>
        <v>0</v>
      </c>
      <c r="CV166" s="429">
        <f t="shared" si="212"/>
        <v>0</v>
      </c>
      <c r="CW166" s="459" t="s">
        <v>22</v>
      </c>
      <c r="CX166" s="460"/>
      <c r="CY166" s="503"/>
      <c r="CZ166" s="502"/>
      <c r="DA166" s="426"/>
      <c r="DB166" s="429"/>
      <c r="DC166" s="459"/>
      <c r="DD166" s="460"/>
    </row>
    <row r="167" spans="1:108" x14ac:dyDescent="0.2">
      <c r="A167" s="1" t="s">
        <v>174</v>
      </c>
      <c r="C167" s="211" t="s">
        <v>12</v>
      </c>
      <c r="D167" s="501"/>
      <c r="E167" s="502"/>
      <c r="F167" s="431"/>
      <c r="G167" s="429"/>
      <c r="H167" s="459"/>
      <c r="I167" s="460"/>
      <c r="J167" s="6"/>
      <c r="K167" s="9"/>
      <c r="L167" s="27"/>
      <c r="M167" s="12"/>
      <c r="N167" s="9"/>
      <c r="O167" s="27"/>
      <c r="P167" s="84"/>
      <c r="T167" s="91"/>
      <c r="U167" s="263"/>
      <c r="V167" s="263"/>
      <c r="W167" s="263"/>
      <c r="X167" s="263"/>
      <c r="Y167" s="263"/>
      <c r="AA167" s="35">
        <f t="shared" si="95"/>
        <v>52</v>
      </c>
      <c r="AB167" s="35">
        <f>HLOOKUP(AB$116,Kostengegevens!$AK$74:$BN$135,Stappen!$AA167,FALSE)</f>
        <v>0</v>
      </c>
      <c r="AC167" s="35">
        <f>HLOOKUP(AC$116,Kostengegevens!$AK$74:$BN$135,Stappen!$AA167,FALSE)</f>
        <v>0</v>
      </c>
      <c r="AD167" s="35">
        <f>HLOOKUP(AD$116,Kostengegevens!$AK$74:$BN$135,Stappen!$AA167,FALSE)</f>
        <v>0</v>
      </c>
      <c r="AE167" s="35">
        <f>HLOOKUP(AE$116,Kostengegevens!$AK$74:$BN$135,Stappen!$AA167,FALSE)</f>
        <v>0</v>
      </c>
      <c r="AF167" s="3"/>
      <c r="AG167" s="35">
        <f>HLOOKUP(AG$116+10,Kostengegevens!$AK$74:$BN$135,Stappen!$AA167,FALSE)</f>
        <v>0</v>
      </c>
      <c r="AH167" s="35">
        <f>HLOOKUP(AH$116+10,Kostengegevens!$AK$74:$BN$135,Stappen!$AA167,FALSE)</f>
        <v>0</v>
      </c>
      <c r="AI167" s="35">
        <f>HLOOKUP(AI$116+10,Kostengegevens!$AK$74:$BN$135,Stappen!$AA167,FALSE)</f>
        <v>0</v>
      </c>
      <c r="AJ167" s="35">
        <f>HLOOKUP(AJ$116+10,Kostengegevens!$AK$74:$BN$135,Stappen!$AA167,FALSE)</f>
        <v>0</v>
      </c>
      <c r="AK167" s="3"/>
      <c r="AL167" s="35">
        <f>HLOOKUP(AL$116+20,Kostengegevens!$AK$74:$BN$135,Stappen!$AA167,FALSE)</f>
        <v>0</v>
      </c>
      <c r="AM167" s="35">
        <f>HLOOKUP(AM$116+20,Kostengegevens!$AK$74:$BN$135,Stappen!$AA167,FALSE)</f>
        <v>0</v>
      </c>
      <c r="AN167" s="35">
        <f>HLOOKUP(AN$116+20,Kostengegevens!$AK$74:$BN$135,Stappen!$AA167,FALSE)</f>
        <v>0</v>
      </c>
      <c r="AO167" s="35">
        <f>HLOOKUP(AO$116+20,Kostengegevens!$AK$74:$BN$135,Stappen!$AA167,FALSE)</f>
        <v>0</v>
      </c>
      <c r="AP167" s="3"/>
      <c r="AQ167" s="35">
        <f>HLOOKUP(AQ$116+30,Kostengegevens!$AK$74:$BN$135,Stappen!$AA167,FALSE)</f>
        <v>0</v>
      </c>
      <c r="AR167" s="35">
        <f>HLOOKUP(AR$116+30,Kostengegevens!$AK$74:$BN$135,Stappen!$AA167,FALSE)</f>
        <v>0</v>
      </c>
      <c r="AS167" s="35">
        <f>HLOOKUP(AS$116+30,Kostengegevens!$AK$74:$BN$135,Stappen!$AA167,FALSE)</f>
        <v>0</v>
      </c>
      <c r="AT167" s="35">
        <f>HLOOKUP(AT$116+30,Kostengegevens!$AK$74:$BN$135,Stappen!$AA167,FALSE)</f>
        <v>0</v>
      </c>
      <c r="AU167" s="3"/>
      <c r="AV167" s="35">
        <f>HLOOKUP(AV$116+40,Kostengegevens!$AK$74:$BN$135,Stappen!$AA167,FALSE)</f>
        <v>0</v>
      </c>
      <c r="AW167" s="35">
        <f>HLOOKUP(AW$116+40,Kostengegevens!$AK$74:$BN$135,Stappen!$AA167,FALSE)</f>
        <v>0</v>
      </c>
      <c r="AX167" s="35">
        <f>HLOOKUP(AX$116+40,Kostengegevens!$AK$74:$BN$135,Stappen!$AA167,FALSE)</f>
        <v>0</v>
      </c>
      <c r="AY167" s="35">
        <f>HLOOKUP(AY$116+40,Kostengegevens!$AK$74:$BN$135,Stappen!$AA167,FALSE)</f>
        <v>0</v>
      </c>
      <c r="AZ167" s="3"/>
      <c r="BA167" s="35">
        <f>HLOOKUP(BA$116+50,Kostengegevens!$AK$74:$BN$135,Stappen!$AA167,FALSE)</f>
        <v>0</v>
      </c>
      <c r="BB167" s="35">
        <f>HLOOKUP(BB$116+50,Kostengegevens!$AK$74:$BN$135,Stappen!$AA167,FALSE)</f>
        <v>0</v>
      </c>
      <c r="BC167" s="35">
        <f>HLOOKUP(BC$116+50,Kostengegevens!$AK$74:$BN$135,Stappen!$AA167,FALSE)</f>
        <v>0</v>
      </c>
      <c r="BD167" s="35">
        <f>HLOOKUP(BD$116+50,Kostengegevens!$AK$74:$BN$135,Stappen!$AA167,FALSE)</f>
        <v>0</v>
      </c>
      <c r="BE167" s="3"/>
      <c r="BH167" s="57">
        <v>52</v>
      </c>
      <c r="BI167" s="53"/>
      <c r="BJ167" s="56"/>
      <c r="BK167" s="47"/>
      <c r="BL167" s="102"/>
      <c r="BM167" s="102"/>
      <c r="BN167" s="102"/>
      <c r="BO167" s="102"/>
      <c r="BP167" s="102"/>
      <c r="CA167" s="501"/>
      <c r="CB167" s="502"/>
      <c r="CC167" s="431"/>
      <c r="CD167" s="429"/>
      <c r="CE167" s="459"/>
      <c r="CF167" s="460"/>
      <c r="CG167" s="501"/>
      <c r="CH167" s="502"/>
      <c r="CI167" s="431"/>
      <c r="CJ167" s="429"/>
      <c r="CK167" s="459"/>
      <c r="CL167" s="460"/>
      <c r="CM167" s="501"/>
      <c r="CN167" s="502"/>
      <c r="CO167" s="431"/>
      <c r="CP167" s="429"/>
      <c r="CQ167" s="459"/>
      <c r="CR167" s="460"/>
      <c r="CS167" s="501"/>
      <c r="CT167" s="502"/>
      <c r="CU167" s="431"/>
      <c r="CV167" s="429"/>
      <c r="CW167" s="459"/>
      <c r="CX167" s="460"/>
      <c r="CY167" s="501"/>
      <c r="CZ167" s="502"/>
      <c r="DA167" s="431"/>
      <c r="DB167" s="429"/>
      <c r="DC167" s="459"/>
      <c r="DD167" s="460"/>
    </row>
    <row r="168" spans="1:108" x14ac:dyDescent="0.2">
      <c r="A168" s="49"/>
      <c r="B168" s="33">
        <v>66</v>
      </c>
      <c r="C168" s="212" t="s">
        <v>57</v>
      </c>
      <c r="D168" s="503"/>
      <c r="E168" s="502"/>
      <c r="F168" s="426">
        <f t="shared" ref="F168" si="213">BI168</f>
        <v>0.11682242990654206</v>
      </c>
      <c r="G168" s="429">
        <f t="shared" ref="G168" si="214">BJ168</f>
        <v>0.11682242990654206</v>
      </c>
      <c r="H168" s="459" t="s">
        <v>210</v>
      </c>
      <c r="I168" s="460"/>
      <c r="J168" s="156">
        <f t="shared" ref="J168" si="215">HLOOKUP($Z168,$AB$116:$AF$183,$AA168,FALSE)*$F168</f>
        <v>0</v>
      </c>
      <c r="K168" s="9">
        <f t="shared" si="90"/>
        <v>0</v>
      </c>
      <c r="L168" s="27">
        <f t="shared" si="91"/>
        <v>0</v>
      </c>
      <c r="M168" s="12">
        <f t="shared" si="92"/>
        <v>0</v>
      </c>
      <c r="N168" s="9">
        <f t="shared" si="93"/>
        <v>0</v>
      </c>
      <c r="O168" s="27">
        <f t="shared" si="94"/>
        <v>0</v>
      </c>
      <c r="T168" s="91" t="str">
        <f>CONCATENATE("ref: ",Referentieproject!T168)</f>
        <v>ref: 2 personenlift (tot 8 personen)</v>
      </c>
      <c r="U168" s="263" t="s">
        <v>134</v>
      </c>
      <c r="V168" s="263" t="s">
        <v>136</v>
      </c>
      <c r="W168" s="263" t="s">
        <v>135</v>
      </c>
      <c r="X168" s="263" t="s">
        <v>84</v>
      </c>
      <c r="Y168" s="263" t="s">
        <v>62</v>
      </c>
      <c r="Z168" s="2">
        <f>IF(D248=T168,Referentieproject!Z168,IF(D248=U168,1,IF(D248=V168,2,IF(D248=W168,3,IF(D248=X168,4,5)))))</f>
        <v>5</v>
      </c>
      <c r="AA168" s="35">
        <f t="shared" si="95"/>
        <v>53</v>
      </c>
      <c r="AB168" s="35">
        <f>HLOOKUP(AB$116,Kostengegevens!$AK$74:$BN$135,Stappen!$AA168,FALSE)</f>
        <v>23147.134999999907</v>
      </c>
      <c r="AC168" s="333">
        <f>HLOOKUP(AC$116,Kostengegevens!$AK$74:$BN$135,Stappen!$AA168,FALSE)+AE168*F15</f>
        <v>48232.489999999816</v>
      </c>
      <c r="AD168" s="333">
        <f>HLOOKUP(AD$116,Kostengegevens!$AK$74:$BN$135,Stappen!$AA168,FALSE)+AE168*F15</f>
        <v>64017.669999999896</v>
      </c>
      <c r="AE168" s="35">
        <f>HLOOKUP(AE$116,Kostengegevens!$AK$74:$BN$135,Stappen!$AA168,FALSE)</f>
        <v>4384.7699999999604</v>
      </c>
      <c r="AF168" s="150"/>
      <c r="AG168" s="35">
        <f>HLOOKUP(AG$116+10,Kostengegevens!$AK$74:$BN$135,Stappen!$AA168,FALSE)</f>
        <v>6018.2550000000265</v>
      </c>
      <c r="AH168" s="333">
        <f>HLOOKUP(AH$116+10,Kostengegevens!$AK$74:$BN$135,Stappen!$AA168,FALSE)+AJ168*F15</f>
        <v>10540.354999999972</v>
      </c>
      <c r="AI168" s="333">
        <f>HLOOKUP(AI$116+10,Kostengegevens!$AK$74:$BN$135,Stappen!$AA168,FALSE)+AJ168*F15</f>
        <v>13989.924999999967</v>
      </c>
      <c r="AJ168" s="35">
        <f>HLOOKUP(AJ$116+10,Kostengegevens!$AK$74:$BN$135,Stappen!$AA168,FALSE)</f>
        <v>958.21499999998912</v>
      </c>
      <c r="AK168" s="3"/>
      <c r="AL168" s="35">
        <f>HLOOKUP(AL$116+20,Kostengegevens!$AK$74:$BN$135,Stappen!$AA168,FALSE)</f>
        <v>17103.264999999999</v>
      </c>
      <c r="AM168" s="333">
        <f>HLOOKUP(AM$116+20,Kostengegevens!$AK$74:$BN$135,Stappen!$AA168,FALSE)+AO168*F15</f>
        <v>28243.379999999976</v>
      </c>
      <c r="AN168" s="333">
        <f>HLOOKUP(AN$116+20,Kostengegevens!$AK$74:$BN$135,Stappen!$AA168,FALSE)+AO168*F15</f>
        <v>37486.670000000013</v>
      </c>
      <c r="AO168" s="35">
        <f>HLOOKUP(AO$116+20,Kostengegevens!$AK$74:$BN$135,Stappen!$AA168,FALSE)</f>
        <v>2567.5800000000017</v>
      </c>
      <c r="AP168" s="3"/>
      <c r="AQ168" s="35">
        <f>HLOOKUP(AQ$116+30,Kostengegevens!$AK$74:$BN$135,Stappen!$AA168,FALSE)</f>
        <v>247976.53500000061</v>
      </c>
      <c r="AR168" s="333">
        <f>HLOOKUP(AR$116+30,Kostengegevens!$AK$74:$BN$135,Stappen!$AA168,FALSE)+AT168*F15</f>
        <v>413931.11000000034</v>
      </c>
      <c r="AS168" s="333">
        <f>HLOOKUP(AS$116+30,Kostengegevens!$AK$74:$BN$135,Stappen!$AA168,FALSE)+AT168*F15</f>
        <v>549399.47500000149</v>
      </c>
      <c r="AT168" s="35">
        <f>HLOOKUP(AT$116+30,Kostengegevens!$AK$74:$BN$135,Stappen!$AA168,FALSE)</f>
        <v>37630.100000000552</v>
      </c>
      <c r="AU168" s="3"/>
      <c r="AV168" s="35">
        <f>HLOOKUP(AV$116+40,Kostengegevens!$AK$74:$BN$135,Stappen!$AA168,FALSE)</f>
        <v>1805.0099999999984</v>
      </c>
      <c r="AW168" s="333">
        <f>HLOOKUP(AW$116+40,Kostengegevens!$AK$74:$BN$135,Stappen!$AA168,FALSE)+AY168*F15</f>
        <v>2923.3450000000043</v>
      </c>
      <c r="AX168" s="333">
        <f>HLOOKUP(AX$116+40,Kostengegevens!$AK$74:$BN$135,Stappen!$AA168,FALSE)+AY168*F15</f>
        <v>3880.0699999999956</v>
      </c>
      <c r="AY168" s="35">
        <f>HLOOKUP(AY$116+40,Kostengegevens!$AK$74:$BN$135,Stappen!$AA168,FALSE)</f>
        <v>265.76000000000192</v>
      </c>
      <c r="AZ168" s="3"/>
      <c r="BA168" s="35">
        <f>HLOOKUP(BA$116+50,Kostengegevens!$AK$74:$BN$135,Stappen!$AA168,FALSE)</f>
        <v>5843.9668500000098</v>
      </c>
      <c r="BB168" s="333">
        <f>HLOOKUP(BB$116+50,Kostengegevens!$AK$74:$BN$135,Stappen!$AA168,FALSE)+BD168*F15</f>
        <v>5545.1699999999728</v>
      </c>
      <c r="BC168" s="333">
        <f>HLOOKUP(BC$116+50,Kostengegevens!$AK$74:$BN$135,Stappen!$AA168,FALSE)+BD168*F15</f>
        <v>7359.9499999999789</v>
      </c>
      <c r="BD168" s="35">
        <f>HLOOKUP(BD$116+50,Kostengegevens!$AK$74:$BN$135,Stappen!$AA168,FALSE)</f>
        <v>504.10999999999336</v>
      </c>
      <c r="BE168" s="3"/>
      <c r="BG168" s="2">
        <v>14</v>
      </c>
      <c r="BH168" s="57">
        <v>53</v>
      </c>
      <c r="BI168" s="35">
        <f>BJ168/BJ$37*BI$37</f>
        <v>0.11682242990654206</v>
      </c>
      <c r="BJ168" s="56">
        <f>HLOOKUP(BJ$116,$BL$116:$BP$178,BH168,FALSE)*VLOOKUP($BG168,$BH$24:$BJ$46,3,FALSE)</f>
        <v>0.11682242990654206</v>
      </c>
      <c r="BK168" s="47" t="s">
        <v>23</v>
      </c>
      <c r="BL168" s="102">
        <v>0</v>
      </c>
      <c r="BM168" s="102">
        <f>1/1284</f>
        <v>7.7881619937694702E-4</v>
      </c>
      <c r="BN168" s="102">
        <f>1/398/2</f>
        <v>1.2562814070351759E-3</v>
      </c>
      <c r="BO168" s="102">
        <f>1/1141</f>
        <v>8.7642418930762491E-4</v>
      </c>
      <c r="BP168" s="102">
        <v>0</v>
      </c>
      <c r="BR168" s="2">
        <v>5</v>
      </c>
      <c r="BS168" s="2">
        <v>2</v>
      </c>
      <c r="BT168" s="2">
        <v>2</v>
      </c>
      <c r="BU168" s="2">
        <v>2</v>
      </c>
      <c r="CA168" s="503"/>
      <c r="CB168" s="502"/>
      <c r="CC168" s="426">
        <f t="shared" ref="CC168" si="216">EF168</f>
        <v>0</v>
      </c>
      <c r="CD168" s="429">
        <f t="shared" ref="CD168" si="217">EG168</f>
        <v>0</v>
      </c>
      <c r="CE168" s="459" t="s">
        <v>210</v>
      </c>
      <c r="CF168" s="460"/>
      <c r="CG168" s="503"/>
      <c r="CH168" s="502"/>
      <c r="CI168" s="426">
        <f t="shared" ref="CI168" si="218">EL168</f>
        <v>0</v>
      </c>
      <c r="CJ168" s="429">
        <f t="shared" ref="CJ168" si="219">EM168</f>
        <v>0</v>
      </c>
      <c r="CK168" s="459" t="s">
        <v>210</v>
      </c>
      <c r="CL168" s="460"/>
      <c r="CM168" s="503"/>
      <c r="CN168" s="502"/>
      <c r="CO168" s="426">
        <f t="shared" ref="CO168" si="220">ER168</f>
        <v>0</v>
      </c>
      <c r="CP168" s="429">
        <f t="shared" ref="CP168" si="221">ES168</f>
        <v>0</v>
      </c>
      <c r="CQ168" s="459" t="s">
        <v>210</v>
      </c>
      <c r="CR168" s="460"/>
      <c r="CS168" s="503"/>
      <c r="CT168" s="502"/>
      <c r="CU168" s="426">
        <f t="shared" ref="CU168" si="222">EX168</f>
        <v>0</v>
      </c>
      <c r="CV168" s="429">
        <f t="shared" ref="CV168" si="223">EY168</f>
        <v>0</v>
      </c>
      <c r="CW168" s="459" t="s">
        <v>210</v>
      </c>
      <c r="CX168" s="460"/>
      <c r="CY168" s="503"/>
      <c r="CZ168" s="502"/>
      <c r="DA168" s="426"/>
      <c r="DB168" s="429"/>
      <c r="DC168" s="459"/>
      <c r="DD168" s="460"/>
    </row>
    <row r="169" spans="1:108" x14ac:dyDescent="0.2">
      <c r="C169" s="15" t="s">
        <v>235</v>
      </c>
      <c r="D169" s="461"/>
      <c r="E169" s="502"/>
      <c r="F169" s="431"/>
      <c r="G169" s="429"/>
      <c r="H169" s="459"/>
      <c r="I169" s="460"/>
      <c r="J169" s="6"/>
      <c r="K169" s="9"/>
      <c r="L169" s="27"/>
      <c r="M169" s="12"/>
      <c r="N169" s="9"/>
      <c r="O169" s="27"/>
      <c r="P169" s="84"/>
      <c r="T169" s="91"/>
      <c r="U169" s="263"/>
      <c r="V169" s="263"/>
      <c r="W169" s="263"/>
      <c r="X169" s="263"/>
      <c r="Y169" s="263"/>
      <c r="AA169" s="35">
        <f t="shared" si="95"/>
        <v>54</v>
      </c>
      <c r="AB169" s="35">
        <f>HLOOKUP(AB$116,Kostengegevens!$AK$74:$BN$135,Stappen!$AA169,FALSE)</f>
        <v>0</v>
      </c>
      <c r="AC169" s="35">
        <f>HLOOKUP(AC$116,Kostengegevens!$AK$74:$BN$135,Stappen!$AA169,FALSE)</f>
        <v>0</v>
      </c>
      <c r="AD169" s="35">
        <f>HLOOKUP(AD$116,Kostengegevens!$AK$74:$BN$135,Stappen!$AA169,FALSE)</f>
        <v>0</v>
      </c>
      <c r="AE169" s="35">
        <f>HLOOKUP(AE$116,Kostengegevens!$AK$74:$BN$135,Stappen!$AA169,FALSE)</f>
        <v>0</v>
      </c>
      <c r="AF169" s="150"/>
      <c r="AG169" s="35">
        <f>HLOOKUP(AG$116+10,Kostengegevens!$AK$74:$BN$135,Stappen!$AA169,FALSE)</f>
        <v>0</v>
      </c>
      <c r="AH169" s="35">
        <f>HLOOKUP(AH$116+10,Kostengegevens!$AK$74:$BN$135,Stappen!$AA169,FALSE)</f>
        <v>0</v>
      </c>
      <c r="AI169" s="35">
        <f>HLOOKUP(AI$116+10,Kostengegevens!$AK$74:$BN$135,Stappen!$AA169,FALSE)</f>
        <v>0</v>
      </c>
      <c r="AJ169" s="35">
        <f>HLOOKUP(AJ$116+10,Kostengegevens!$AK$74:$BN$135,Stappen!$AA169,FALSE)</f>
        <v>0</v>
      </c>
      <c r="AK169" s="3"/>
      <c r="AL169" s="35">
        <f>HLOOKUP(AL$116+20,Kostengegevens!$AK$74:$BN$135,Stappen!$AA169,FALSE)</f>
        <v>0</v>
      </c>
      <c r="AM169" s="35">
        <f>HLOOKUP(AM$116+20,Kostengegevens!$AK$74:$BN$135,Stappen!$AA169,FALSE)</f>
        <v>0</v>
      </c>
      <c r="AN169" s="35">
        <f>HLOOKUP(AN$116+20,Kostengegevens!$AK$74:$BN$135,Stappen!$AA169,FALSE)</f>
        <v>0</v>
      </c>
      <c r="AO169" s="35">
        <f>HLOOKUP(AO$116+20,Kostengegevens!$AK$74:$BN$135,Stappen!$AA169,FALSE)</f>
        <v>0</v>
      </c>
      <c r="AP169" s="3"/>
      <c r="AQ169" s="35">
        <f>HLOOKUP(AQ$116+30,Kostengegevens!$AK$74:$BN$135,Stappen!$AA169,FALSE)</f>
        <v>0</v>
      </c>
      <c r="AR169" s="35">
        <f>HLOOKUP(AR$116+30,Kostengegevens!$AK$74:$BN$135,Stappen!$AA169,FALSE)</f>
        <v>0</v>
      </c>
      <c r="AS169" s="35">
        <f>HLOOKUP(AS$116+30,Kostengegevens!$AK$74:$BN$135,Stappen!$AA169,FALSE)</f>
        <v>0</v>
      </c>
      <c r="AT169" s="35">
        <f>HLOOKUP(AT$116+30,Kostengegevens!$AK$74:$BN$135,Stappen!$AA169,FALSE)</f>
        <v>0</v>
      </c>
      <c r="AU169" s="3"/>
      <c r="AV169" s="35">
        <f>HLOOKUP(AV$116+40,Kostengegevens!$AK$74:$BN$135,Stappen!$AA169,FALSE)</f>
        <v>0</v>
      </c>
      <c r="AW169" s="35">
        <f>HLOOKUP(AW$116+40,Kostengegevens!$AK$74:$BN$135,Stappen!$AA169,FALSE)</f>
        <v>0</v>
      </c>
      <c r="AX169" s="35">
        <f>HLOOKUP(AX$116+40,Kostengegevens!$AK$74:$BN$135,Stappen!$AA169,FALSE)</f>
        <v>0</v>
      </c>
      <c r="AY169" s="35">
        <f>HLOOKUP(AY$116+40,Kostengegevens!$AK$74:$BN$135,Stappen!$AA169,FALSE)</f>
        <v>0</v>
      </c>
      <c r="AZ169" s="3"/>
      <c r="BA169" s="35">
        <f>HLOOKUP(BA$116+50,Kostengegevens!$AK$74:$BN$135,Stappen!$AA169,FALSE)</f>
        <v>0</v>
      </c>
      <c r="BB169" s="35">
        <f>HLOOKUP(BB$116+50,Kostengegevens!$AK$74:$BN$135,Stappen!$AA169,FALSE)</f>
        <v>0</v>
      </c>
      <c r="BC169" s="35">
        <f>HLOOKUP(BC$116+50,Kostengegevens!$AK$74:$BN$135,Stappen!$AA169,FALSE)</f>
        <v>0</v>
      </c>
      <c r="BD169" s="35">
        <f>HLOOKUP(BD$116+50,Kostengegevens!$AK$74:$BN$135,Stappen!$AA169,FALSE)</f>
        <v>0</v>
      </c>
      <c r="BE169" s="3"/>
      <c r="BH169" s="57">
        <v>54</v>
      </c>
      <c r="BI169" s="53"/>
      <c r="BJ169" s="56"/>
      <c r="BK169" s="47"/>
      <c r="BL169" s="102"/>
      <c r="BM169" s="102"/>
      <c r="BN169" s="102"/>
      <c r="BO169" s="102"/>
      <c r="BP169" s="102"/>
      <c r="CA169" s="461"/>
      <c r="CB169" s="502"/>
      <c r="CC169" s="431"/>
      <c r="CD169" s="429"/>
      <c r="CE169" s="459"/>
      <c r="CF169" s="460"/>
      <c r="CG169" s="461"/>
      <c r="CH169" s="502"/>
      <c r="CI169" s="431"/>
      <c r="CJ169" s="429"/>
      <c r="CK169" s="459"/>
      <c r="CL169" s="460"/>
      <c r="CM169" s="461"/>
      <c r="CN169" s="502"/>
      <c r="CO169" s="431"/>
      <c r="CP169" s="429"/>
      <c r="CQ169" s="459"/>
      <c r="CR169" s="460"/>
      <c r="CS169" s="461"/>
      <c r="CT169" s="502"/>
      <c r="CU169" s="431"/>
      <c r="CV169" s="429"/>
      <c r="CW169" s="459"/>
      <c r="CX169" s="460"/>
      <c r="CY169" s="461"/>
      <c r="CZ169" s="502"/>
      <c r="DA169" s="431"/>
      <c r="DB169" s="429"/>
      <c r="DC169" s="459"/>
      <c r="DD169" s="460"/>
    </row>
    <row r="170" spans="1:108" x14ac:dyDescent="0.2">
      <c r="A170" s="1" t="s">
        <v>175</v>
      </c>
      <c r="C170" s="211" t="s">
        <v>241</v>
      </c>
      <c r="D170" s="501"/>
      <c r="E170" s="502"/>
      <c r="F170" s="431"/>
      <c r="G170" s="429"/>
      <c r="H170" s="459"/>
      <c r="I170" s="460"/>
      <c r="J170" s="6"/>
      <c r="K170" s="9"/>
      <c r="L170" s="27"/>
      <c r="M170" s="12"/>
      <c r="N170" s="9"/>
      <c r="O170" s="27"/>
      <c r="P170" s="84"/>
      <c r="T170" s="91"/>
      <c r="U170" s="263"/>
      <c r="V170" s="263"/>
      <c r="W170" s="263"/>
      <c r="X170" s="263"/>
      <c r="Y170" s="263"/>
      <c r="AA170" s="35">
        <f t="shared" si="95"/>
        <v>55</v>
      </c>
      <c r="AB170" s="35">
        <f>HLOOKUP(AB$116,Kostengegevens!$AK$74:$BN$135,Stappen!$AA170,FALSE)</f>
        <v>0</v>
      </c>
      <c r="AC170" s="35">
        <f>HLOOKUP(AC$116,Kostengegevens!$AK$74:$BN$135,Stappen!$AA170,FALSE)</f>
        <v>0</v>
      </c>
      <c r="AD170" s="35">
        <f>HLOOKUP(AD$116,Kostengegevens!$AK$74:$BN$135,Stappen!$AA170,FALSE)</f>
        <v>0</v>
      </c>
      <c r="AE170" s="35">
        <f>HLOOKUP(AE$116,Kostengegevens!$AK$74:$BN$135,Stappen!$AA170,FALSE)</f>
        <v>0</v>
      </c>
      <c r="AF170" s="3"/>
      <c r="AG170" s="35">
        <f>HLOOKUP(AG$116+10,Kostengegevens!$AK$74:$BN$135,Stappen!$AA170,FALSE)</f>
        <v>0</v>
      </c>
      <c r="AH170" s="35">
        <f>HLOOKUP(AH$116+10,Kostengegevens!$AK$74:$BN$135,Stappen!$AA170,FALSE)</f>
        <v>0</v>
      </c>
      <c r="AI170" s="35">
        <f>HLOOKUP(AI$116+10,Kostengegevens!$AK$74:$BN$135,Stappen!$AA170,FALSE)</f>
        <v>0</v>
      </c>
      <c r="AJ170" s="35">
        <f>HLOOKUP(AJ$116+10,Kostengegevens!$AK$74:$BN$135,Stappen!$AA170,FALSE)</f>
        <v>0</v>
      </c>
      <c r="AK170" s="3"/>
      <c r="AL170" s="35">
        <f>HLOOKUP(AL$116+20,Kostengegevens!$AK$74:$BN$135,Stappen!$AA170,FALSE)</f>
        <v>0</v>
      </c>
      <c r="AM170" s="35">
        <f>HLOOKUP(AM$116+20,Kostengegevens!$AK$74:$BN$135,Stappen!$AA170,FALSE)</f>
        <v>0</v>
      </c>
      <c r="AN170" s="35">
        <f>HLOOKUP(AN$116+20,Kostengegevens!$AK$74:$BN$135,Stappen!$AA170,FALSE)</f>
        <v>0</v>
      </c>
      <c r="AO170" s="35">
        <f>HLOOKUP(AO$116+20,Kostengegevens!$AK$74:$BN$135,Stappen!$AA170,FALSE)</f>
        <v>0</v>
      </c>
      <c r="AP170" s="3"/>
      <c r="AQ170" s="35">
        <f>HLOOKUP(AQ$116+30,Kostengegevens!$AK$74:$BN$135,Stappen!$AA170,FALSE)</f>
        <v>0</v>
      </c>
      <c r="AR170" s="35">
        <f>HLOOKUP(AR$116+30,Kostengegevens!$AK$74:$BN$135,Stappen!$AA170,FALSE)</f>
        <v>0</v>
      </c>
      <c r="AS170" s="35">
        <f>HLOOKUP(AS$116+30,Kostengegevens!$AK$74:$BN$135,Stappen!$AA170,FALSE)</f>
        <v>0</v>
      </c>
      <c r="AT170" s="35">
        <f>HLOOKUP(AT$116+30,Kostengegevens!$AK$74:$BN$135,Stappen!$AA170,FALSE)</f>
        <v>0</v>
      </c>
      <c r="AU170" s="3"/>
      <c r="AV170" s="35">
        <f>HLOOKUP(AV$116+40,Kostengegevens!$AK$74:$BN$135,Stappen!$AA170,FALSE)</f>
        <v>0</v>
      </c>
      <c r="AW170" s="35">
        <f>HLOOKUP(AW$116+40,Kostengegevens!$AK$74:$BN$135,Stappen!$AA170,FALSE)</f>
        <v>0</v>
      </c>
      <c r="AX170" s="35">
        <f>HLOOKUP(AX$116+40,Kostengegevens!$AK$74:$BN$135,Stappen!$AA170,FALSE)</f>
        <v>0</v>
      </c>
      <c r="AY170" s="35">
        <f>HLOOKUP(AY$116+40,Kostengegevens!$AK$74:$BN$135,Stappen!$AA170,FALSE)</f>
        <v>0</v>
      </c>
      <c r="AZ170" s="3"/>
      <c r="BA170" s="35">
        <f>HLOOKUP(BA$116+50,Kostengegevens!$AK$74:$BN$135,Stappen!$AA170,FALSE)</f>
        <v>0</v>
      </c>
      <c r="BB170" s="35">
        <f>HLOOKUP(BB$116+50,Kostengegevens!$AK$74:$BN$135,Stappen!$AA170,FALSE)</f>
        <v>0</v>
      </c>
      <c r="BC170" s="35">
        <f>HLOOKUP(BC$116+50,Kostengegevens!$AK$74:$BN$135,Stappen!$AA170,FALSE)</f>
        <v>0</v>
      </c>
      <c r="BD170" s="35">
        <f>HLOOKUP(BD$116+50,Kostengegevens!$AK$74:$BN$135,Stappen!$AA170,FALSE)</f>
        <v>0</v>
      </c>
      <c r="BE170" s="3"/>
      <c r="BH170" s="57">
        <v>55</v>
      </c>
      <c r="BI170" s="53"/>
      <c r="BJ170" s="56"/>
      <c r="BK170" s="47"/>
      <c r="BL170" s="102"/>
      <c r="BM170" s="102"/>
      <c r="BN170" s="102"/>
      <c r="BO170" s="102"/>
      <c r="BP170" s="102"/>
      <c r="CA170" s="501"/>
      <c r="CB170" s="502"/>
      <c r="CC170" s="431"/>
      <c r="CD170" s="429"/>
      <c r="CE170" s="459"/>
      <c r="CF170" s="460"/>
      <c r="CG170" s="501"/>
      <c r="CH170" s="502"/>
      <c r="CI170" s="431"/>
      <c r="CJ170" s="429"/>
      <c r="CK170" s="459"/>
      <c r="CL170" s="460"/>
      <c r="CM170" s="501"/>
      <c r="CN170" s="502"/>
      <c r="CO170" s="431"/>
      <c r="CP170" s="429"/>
      <c r="CQ170" s="459"/>
      <c r="CR170" s="460"/>
      <c r="CS170" s="501"/>
      <c r="CT170" s="502"/>
      <c r="CU170" s="431"/>
      <c r="CV170" s="429"/>
      <c r="CW170" s="459"/>
      <c r="CX170" s="460"/>
      <c r="CY170" s="501"/>
      <c r="CZ170" s="502"/>
      <c r="DA170" s="431"/>
      <c r="DB170" s="429"/>
      <c r="DC170" s="459"/>
      <c r="DD170" s="460"/>
    </row>
    <row r="171" spans="1:108" x14ac:dyDescent="0.2">
      <c r="A171" s="49"/>
      <c r="B171" s="33">
        <v>70</v>
      </c>
      <c r="C171" s="212" t="s">
        <v>58</v>
      </c>
      <c r="D171" s="503"/>
      <c r="E171" s="502"/>
      <c r="F171" s="426">
        <f t="shared" ref="F171" si="224">BI171</f>
        <v>150</v>
      </c>
      <c r="G171" s="429">
        <f t="shared" ref="G171" si="225">BJ171</f>
        <v>150</v>
      </c>
      <c r="H171" s="459" t="s">
        <v>22</v>
      </c>
      <c r="I171" s="460"/>
      <c r="J171" s="156">
        <f t="shared" ref="J171" si="226">HLOOKUP($Z171,$AB$116:$AF$183,$AA171,FALSE)*$F171</f>
        <v>4917.4992000007478</v>
      </c>
      <c r="K171" s="9">
        <f t="shared" si="90"/>
        <v>685.74674999999843</v>
      </c>
      <c r="L171" s="27">
        <f t="shared" si="91"/>
        <v>2317.0766999997795</v>
      </c>
      <c r="M171" s="12">
        <f t="shared" si="92"/>
        <v>37117.436250005267</v>
      </c>
      <c r="N171" s="9">
        <f t="shared" si="93"/>
        <v>497.01419999998961</v>
      </c>
      <c r="O171" s="27">
        <f t="shared" si="94"/>
        <v>475.6234349998067</v>
      </c>
      <c r="T171" s="91" t="str">
        <f>CONCATENATE("ref: ",Referentieproject!T171)</f>
        <v>ref: 1 woning: sanitair+keuken basis</v>
      </c>
      <c r="U171" s="263" t="s">
        <v>368</v>
      </c>
      <c r="V171" s="263" t="s">
        <v>369</v>
      </c>
      <c r="W171" s="263" t="s">
        <v>366</v>
      </c>
      <c r="X171" s="263" t="s">
        <v>367</v>
      </c>
      <c r="Y171" s="263" t="s">
        <v>62</v>
      </c>
      <c r="Z171" s="2">
        <f>IF(D251=T171,Referentieproject!Z171,IF(D251=U171,1,IF(D251=V171,2,IF(D251=W171,3,IF(D251=X171,4,5)))))</f>
        <v>1</v>
      </c>
      <c r="AA171" s="35">
        <f t="shared" si="95"/>
        <v>56</v>
      </c>
      <c r="AB171" s="35">
        <f>HLOOKUP(AB$116,Kostengegevens!$AK$74:$BN$135,Stappen!$AA171,FALSE)</f>
        <v>32.783328000004985</v>
      </c>
      <c r="AC171" s="35">
        <f>HLOOKUP(AC$116,Kostengegevens!$AK$74:$BN$135,Stappen!$AA171,FALSE)</f>
        <v>32.783328000004985</v>
      </c>
      <c r="AD171" s="35">
        <f>HLOOKUP(AD$116,Kostengegevens!$AK$74:$BN$135,Stappen!$AA171,FALSE)</f>
        <v>32.783328000004985</v>
      </c>
      <c r="AE171" s="35">
        <f>HLOOKUP(AE$116,Kostengegevens!$AK$74:$BN$135,Stappen!$AA171,FALSE)</f>
        <v>32.783327999999528</v>
      </c>
      <c r="AF171" s="3"/>
      <c r="AG171" s="35">
        <f>HLOOKUP(AG$116+10,Kostengegevens!$AK$74:$BN$135,Stappen!$AA171,FALSE)</f>
        <v>4.5716449999999895</v>
      </c>
      <c r="AH171" s="35">
        <f>HLOOKUP(AH$116+10,Kostengegevens!$AK$74:$BN$135,Stappen!$AA171,FALSE)</f>
        <v>4.5716450000018085</v>
      </c>
      <c r="AI171" s="35">
        <f>HLOOKUP(AI$116+10,Kostengegevens!$AK$74:$BN$135,Stappen!$AA171,FALSE)</f>
        <v>4.5716450000018085</v>
      </c>
      <c r="AJ171" s="35">
        <f>HLOOKUP(AJ$116+10,Kostengegevens!$AK$74:$BN$135,Stappen!$AA171,FALSE)</f>
        <v>4.5716450000004443</v>
      </c>
      <c r="AK171" s="3"/>
      <c r="AL171" s="35">
        <f>HLOOKUP(AL$116+20,Kostengegevens!$AK$74:$BN$135,Stappen!$AA171,FALSE)</f>
        <v>15.44717799999853</v>
      </c>
      <c r="AM171" s="35">
        <f>HLOOKUP(AM$116+20,Kostengegevens!$AK$74:$BN$135,Stappen!$AA171,FALSE)</f>
        <v>15.44717799999853</v>
      </c>
      <c r="AN171" s="35">
        <f>HLOOKUP(AN$116+20,Kostengegevens!$AK$74:$BN$135,Stappen!$AA171,FALSE)</f>
        <v>15.44717799999853</v>
      </c>
      <c r="AO171" s="35">
        <f>HLOOKUP(AO$116+20,Kostengegevens!$AK$74:$BN$135,Stappen!$AA171,FALSE)</f>
        <v>15.44717799999944</v>
      </c>
      <c r="AP171" s="3"/>
      <c r="AQ171" s="35">
        <f>HLOOKUP(AQ$116+30,Kostengegevens!$AK$74:$BN$135,Stappen!$AA171,FALSE)</f>
        <v>247.44957500003511</v>
      </c>
      <c r="AR171" s="35">
        <f>HLOOKUP(AR$116+30,Kostengegevens!$AK$74:$BN$135,Stappen!$AA171,FALSE)</f>
        <v>247.44957500003511</v>
      </c>
      <c r="AS171" s="35">
        <f>HLOOKUP(AS$116+30,Kostengegevens!$AK$74:$BN$135,Stappen!$AA171,FALSE)</f>
        <v>247.44957500003511</v>
      </c>
      <c r="AT171" s="35">
        <f>HLOOKUP(AT$116+30,Kostengegevens!$AK$74:$BN$135,Stappen!$AA171,FALSE)</f>
        <v>247.44957499999146</v>
      </c>
      <c r="AU171" s="3"/>
      <c r="AV171" s="35">
        <f>HLOOKUP(AV$116+40,Kostengegevens!$AK$74:$BN$135,Stappen!$AA171,FALSE)</f>
        <v>3.3134279999999308</v>
      </c>
      <c r="AW171" s="35">
        <f>HLOOKUP(AW$116+40,Kostengegevens!$AK$74:$BN$135,Stappen!$AA171,FALSE)</f>
        <v>3.3134279999999308</v>
      </c>
      <c r="AX171" s="35">
        <f>HLOOKUP(AX$116+40,Kostengegevens!$AK$74:$BN$135,Stappen!$AA171,FALSE)</f>
        <v>3.3134280000003855</v>
      </c>
      <c r="AY171" s="35">
        <f>HLOOKUP(AY$116+40,Kostengegevens!$AK$74:$BN$135,Stappen!$AA171,FALSE)</f>
        <v>3.3134279999997034</v>
      </c>
      <c r="AZ171" s="3"/>
      <c r="BA171" s="35">
        <f>HLOOKUP(BA$116+50,Kostengegevens!$AK$74:$BN$135,Stappen!$AA171,FALSE)</f>
        <v>3.1708228999987114</v>
      </c>
      <c r="BB171" s="35">
        <f>HLOOKUP(BB$116+50,Kostengegevens!$AK$74:$BN$135,Stappen!$AA171,FALSE)</f>
        <v>3.1708228999987114</v>
      </c>
      <c r="BC171" s="35">
        <f>HLOOKUP(BC$116+50,Kostengegevens!$AK$74:$BN$135,Stappen!$AA171,FALSE)</f>
        <v>3.1708228999987114</v>
      </c>
      <c r="BD171" s="35">
        <f>HLOOKUP(BD$116+50,Kostengegevens!$AK$74:$BN$135,Stappen!$AA171,FALSE)</f>
        <v>3.1708228999998482</v>
      </c>
      <c r="BE171" s="3"/>
      <c r="BG171" s="2">
        <v>16</v>
      </c>
      <c r="BH171" s="57">
        <v>56</v>
      </c>
      <c r="BI171" s="35">
        <f>BJ171/BJ$39*BI$39</f>
        <v>150</v>
      </c>
      <c r="BJ171" s="56">
        <f>HLOOKUP(BJ$116,$BL$116:$BP$178,BH171,FALSE)*VLOOKUP($BG171,$BH$24:$BJ$46,3,FALSE)</f>
        <v>150</v>
      </c>
      <c r="BK171" s="47" t="s">
        <v>22</v>
      </c>
      <c r="BL171" s="102">
        <v>1</v>
      </c>
      <c r="BM171" s="102">
        <v>1</v>
      </c>
      <c r="BN171" s="102">
        <v>1</v>
      </c>
      <c r="BO171" s="102">
        <v>1</v>
      </c>
      <c r="BP171" s="102">
        <v>1</v>
      </c>
      <c r="BR171" s="2">
        <v>1</v>
      </c>
      <c r="BS171" s="2">
        <v>1</v>
      </c>
      <c r="BT171" s="2">
        <v>3</v>
      </c>
      <c r="BU171" s="2">
        <v>3</v>
      </c>
      <c r="CA171" s="503"/>
      <c r="CB171" s="502"/>
      <c r="CC171" s="426">
        <f t="shared" ref="CC171" si="227">EF171</f>
        <v>0</v>
      </c>
      <c r="CD171" s="429">
        <f t="shared" ref="CD171" si="228">EG171</f>
        <v>0</v>
      </c>
      <c r="CE171" s="459" t="s">
        <v>22</v>
      </c>
      <c r="CF171" s="460"/>
      <c r="CG171" s="503"/>
      <c r="CH171" s="502"/>
      <c r="CI171" s="426">
        <f t="shared" ref="CI171" si="229">EL171</f>
        <v>0</v>
      </c>
      <c r="CJ171" s="429">
        <f t="shared" ref="CJ171" si="230">EM171</f>
        <v>0</v>
      </c>
      <c r="CK171" s="459" t="s">
        <v>22</v>
      </c>
      <c r="CL171" s="460"/>
      <c r="CM171" s="503"/>
      <c r="CN171" s="502"/>
      <c r="CO171" s="426">
        <f t="shared" ref="CO171" si="231">ER171</f>
        <v>0</v>
      </c>
      <c r="CP171" s="429">
        <f t="shared" ref="CP171" si="232">ES171</f>
        <v>0</v>
      </c>
      <c r="CQ171" s="459" t="s">
        <v>22</v>
      </c>
      <c r="CR171" s="460"/>
      <c r="CS171" s="503"/>
      <c r="CT171" s="502"/>
      <c r="CU171" s="426">
        <f t="shared" ref="CU171" si="233">EX171</f>
        <v>0</v>
      </c>
      <c r="CV171" s="429">
        <f t="shared" ref="CV171" si="234">EY171</f>
        <v>0</v>
      </c>
      <c r="CW171" s="459" t="s">
        <v>22</v>
      </c>
      <c r="CX171" s="460"/>
      <c r="CY171" s="503"/>
      <c r="CZ171" s="502"/>
      <c r="DA171" s="426"/>
      <c r="DB171" s="429"/>
      <c r="DC171" s="459"/>
      <c r="DD171" s="460"/>
    </row>
    <row r="172" spans="1:108" x14ac:dyDescent="0.2">
      <c r="C172" s="15" t="s">
        <v>59</v>
      </c>
      <c r="D172" s="461"/>
      <c r="E172" s="502"/>
      <c r="F172" s="431"/>
      <c r="G172" s="429"/>
      <c r="H172" s="459"/>
      <c r="I172" s="460"/>
      <c r="J172" s="6"/>
      <c r="K172" s="9"/>
      <c r="L172" s="27"/>
      <c r="M172" s="12"/>
      <c r="N172" s="9"/>
      <c r="O172" s="27"/>
      <c r="P172" s="84"/>
      <c r="T172" s="91"/>
      <c r="U172" s="263"/>
      <c r="V172" s="263"/>
      <c r="W172" s="263"/>
      <c r="X172" s="263"/>
      <c r="Y172" s="263"/>
      <c r="AA172" s="35">
        <f t="shared" si="95"/>
        <v>57</v>
      </c>
      <c r="AB172" s="35">
        <f>HLOOKUP(AB$116,Kostengegevens!$AK$74:$BN$135,Stappen!$AA172,FALSE)</f>
        <v>0</v>
      </c>
      <c r="AC172" s="35">
        <f>HLOOKUP(AC$116,Kostengegevens!$AK$74:$BN$135,Stappen!$AA172,FALSE)</f>
        <v>0</v>
      </c>
      <c r="AD172" s="35">
        <f>HLOOKUP(AD$116,Kostengegevens!$AK$74:$BN$135,Stappen!$AA172,FALSE)</f>
        <v>0</v>
      </c>
      <c r="AE172" s="35">
        <f>HLOOKUP(AE$116,Kostengegevens!$AK$74:$BN$135,Stappen!$AA172,FALSE)</f>
        <v>0</v>
      </c>
      <c r="AF172" s="3"/>
      <c r="AG172" s="35">
        <f>HLOOKUP(AG$116+10,Kostengegevens!$AK$74:$BN$135,Stappen!$AA172,FALSE)</f>
        <v>0</v>
      </c>
      <c r="AH172" s="35">
        <f>HLOOKUP(AH$116+10,Kostengegevens!$AK$74:$BN$135,Stappen!$AA172,FALSE)</f>
        <v>0</v>
      </c>
      <c r="AI172" s="35">
        <f>HLOOKUP(AI$116+10,Kostengegevens!$AK$74:$BN$135,Stappen!$AA172,FALSE)</f>
        <v>0</v>
      </c>
      <c r="AJ172" s="35">
        <f>HLOOKUP(AJ$116+10,Kostengegevens!$AK$74:$BN$135,Stappen!$AA172,FALSE)</f>
        <v>0</v>
      </c>
      <c r="AK172" s="3"/>
      <c r="AL172" s="35">
        <f>HLOOKUP(AL$116+20,Kostengegevens!$AK$74:$BN$135,Stappen!$AA172,FALSE)</f>
        <v>0</v>
      </c>
      <c r="AM172" s="35">
        <f>HLOOKUP(AM$116+20,Kostengegevens!$AK$74:$BN$135,Stappen!$AA172,FALSE)</f>
        <v>0</v>
      </c>
      <c r="AN172" s="35">
        <f>HLOOKUP(AN$116+20,Kostengegevens!$AK$74:$BN$135,Stappen!$AA172,FALSE)</f>
        <v>0</v>
      </c>
      <c r="AO172" s="35">
        <f>HLOOKUP(AO$116+20,Kostengegevens!$AK$74:$BN$135,Stappen!$AA172,FALSE)</f>
        <v>0</v>
      </c>
      <c r="AP172" s="3"/>
      <c r="AQ172" s="35">
        <f>HLOOKUP(AQ$116+30,Kostengegevens!$AK$74:$BN$135,Stappen!$AA172,FALSE)</f>
        <v>0</v>
      </c>
      <c r="AR172" s="35">
        <f>HLOOKUP(AR$116+30,Kostengegevens!$AK$74:$BN$135,Stappen!$AA172,FALSE)</f>
        <v>0</v>
      </c>
      <c r="AS172" s="35">
        <f>HLOOKUP(AS$116+30,Kostengegevens!$AK$74:$BN$135,Stappen!$AA172,FALSE)</f>
        <v>0</v>
      </c>
      <c r="AT172" s="35">
        <f>HLOOKUP(AT$116+30,Kostengegevens!$AK$74:$BN$135,Stappen!$AA172,FALSE)</f>
        <v>0</v>
      </c>
      <c r="AU172" s="3"/>
      <c r="AV172" s="35">
        <f>HLOOKUP(AV$116+40,Kostengegevens!$AK$74:$BN$135,Stappen!$AA172,FALSE)</f>
        <v>0</v>
      </c>
      <c r="AW172" s="35">
        <f>HLOOKUP(AW$116+40,Kostengegevens!$AK$74:$BN$135,Stappen!$AA172,FALSE)</f>
        <v>0</v>
      </c>
      <c r="AX172" s="35">
        <f>HLOOKUP(AX$116+40,Kostengegevens!$AK$74:$BN$135,Stappen!$AA172,FALSE)</f>
        <v>0</v>
      </c>
      <c r="AY172" s="35">
        <f>HLOOKUP(AY$116+40,Kostengegevens!$AK$74:$BN$135,Stappen!$AA172,FALSE)</f>
        <v>0</v>
      </c>
      <c r="AZ172" s="3"/>
      <c r="BA172" s="35">
        <f>HLOOKUP(BA$116+50,Kostengegevens!$AK$74:$BN$135,Stappen!$AA172,FALSE)</f>
        <v>0</v>
      </c>
      <c r="BB172" s="35">
        <f>HLOOKUP(BB$116+50,Kostengegevens!$AK$74:$BN$135,Stappen!$AA172,FALSE)</f>
        <v>0</v>
      </c>
      <c r="BC172" s="35">
        <f>HLOOKUP(BC$116+50,Kostengegevens!$AK$74:$BN$135,Stappen!$AA172,FALSE)</f>
        <v>0</v>
      </c>
      <c r="BD172" s="35">
        <f>HLOOKUP(BD$116+50,Kostengegevens!$AK$74:$BN$135,Stappen!$AA172,FALSE)</f>
        <v>0</v>
      </c>
      <c r="BE172" s="3"/>
      <c r="BH172" s="57">
        <v>57</v>
      </c>
      <c r="BI172" s="53"/>
      <c r="BJ172" s="56"/>
      <c r="BK172" s="47"/>
      <c r="BL172" s="102"/>
      <c r="BM172" s="102"/>
      <c r="BN172" s="102"/>
      <c r="BO172" s="102"/>
      <c r="BP172" s="102"/>
      <c r="CA172" s="461"/>
      <c r="CB172" s="502"/>
      <c r="CC172" s="431"/>
      <c r="CD172" s="429"/>
      <c r="CE172" s="459"/>
      <c r="CF172" s="460"/>
      <c r="CG172" s="461"/>
      <c r="CH172" s="502"/>
      <c r="CI172" s="431"/>
      <c r="CJ172" s="429"/>
      <c r="CK172" s="459"/>
      <c r="CL172" s="460"/>
      <c r="CM172" s="461"/>
      <c r="CN172" s="502"/>
      <c r="CO172" s="431"/>
      <c r="CP172" s="429"/>
      <c r="CQ172" s="459"/>
      <c r="CR172" s="460"/>
      <c r="CS172" s="461"/>
      <c r="CT172" s="502"/>
      <c r="CU172" s="431"/>
      <c r="CV172" s="429"/>
      <c r="CW172" s="459"/>
      <c r="CX172" s="460"/>
      <c r="CY172" s="461"/>
      <c r="CZ172" s="502"/>
      <c r="DA172" s="431"/>
      <c r="DB172" s="429"/>
      <c r="DC172" s="459"/>
      <c r="DD172" s="460"/>
    </row>
    <row r="173" spans="1:108" x14ac:dyDescent="0.2">
      <c r="A173" s="1" t="s">
        <v>176</v>
      </c>
      <c r="C173" s="211" t="s">
        <v>59</v>
      </c>
      <c r="D173" s="501"/>
      <c r="E173" s="502"/>
      <c r="F173" s="431"/>
      <c r="G173" s="429"/>
      <c r="H173" s="459"/>
      <c r="I173" s="460"/>
      <c r="J173" s="6"/>
      <c r="K173" s="9"/>
      <c r="L173" s="27"/>
      <c r="M173" s="12"/>
      <c r="N173" s="9"/>
      <c r="O173" s="27"/>
      <c r="P173" s="84"/>
      <c r="T173" s="91"/>
      <c r="U173" s="263"/>
      <c r="V173" s="263"/>
      <c r="W173" s="263"/>
      <c r="X173" s="263"/>
      <c r="Y173" s="263"/>
      <c r="AA173" s="35">
        <f t="shared" si="95"/>
        <v>58</v>
      </c>
      <c r="AB173" s="35">
        <f>HLOOKUP(AB$116,Kostengegevens!$AK$74:$BN$135,Stappen!$AA173,FALSE)</f>
        <v>0</v>
      </c>
      <c r="AC173" s="35">
        <f>HLOOKUP(AC$116,Kostengegevens!$AK$74:$BN$135,Stappen!$AA173,FALSE)</f>
        <v>0</v>
      </c>
      <c r="AD173" s="35">
        <f>HLOOKUP(AD$116,Kostengegevens!$AK$74:$BN$135,Stappen!$AA173,FALSE)</f>
        <v>0</v>
      </c>
      <c r="AE173" s="35">
        <f>HLOOKUP(AE$116,Kostengegevens!$AK$74:$BN$135,Stappen!$AA173,FALSE)</f>
        <v>0</v>
      </c>
      <c r="AF173" s="3"/>
      <c r="AG173" s="35">
        <f>HLOOKUP(AG$116+10,Kostengegevens!$AK$74:$BN$135,Stappen!$AA173,FALSE)</f>
        <v>0</v>
      </c>
      <c r="AH173" s="35">
        <f>HLOOKUP(AH$116+10,Kostengegevens!$AK$74:$BN$135,Stappen!$AA173,FALSE)</f>
        <v>0</v>
      </c>
      <c r="AI173" s="35">
        <f>HLOOKUP(AI$116+10,Kostengegevens!$AK$74:$BN$135,Stappen!$AA173,FALSE)</f>
        <v>0</v>
      </c>
      <c r="AJ173" s="35">
        <f>HLOOKUP(AJ$116+10,Kostengegevens!$AK$74:$BN$135,Stappen!$AA173,FALSE)</f>
        <v>0</v>
      </c>
      <c r="AK173" s="3"/>
      <c r="AL173" s="35">
        <f>HLOOKUP(AL$116+20,Kostengegevens!$AK$74:$BN$135,Stappen!$AA173,FALSE)</f>
        <v>0</v>
      </c>
      <c r="AM173" s="35">
        <f>HLOOKUP(AM$116+20,Kostengegevens!$AK$74:$BN$135,Stappen!$AA173,FALSE)</f>
        <v>0</v>
      </c>
      <c r="AN173" s="35">
        <f>HLOOKUP(AN$116+20,Kostengegevens!$AK$74:$BN$135,Stappen!$AA173,FALSE)</f>
        <v>0</v>
      </c>
      <c r="AO173" s="35">
        <f>HLOOKUP(AO$116+20,Kostengegevens!$AK$74:$BN$135,Stappen!$AA173,FALSE)</f>
        <v>0</v>
      </c>
      <c r="AP173" s="3"/>
      <c r="AQ173" s="35">
        <f>HLOOKUP(AQ$116+30,Kostengegevens!$AK$74:$BN$135,Stappen!$AA173,FALSE)</f>
        <v>0</v>
      </c>
      <c r="AR173" s="35">
        <f>HLOOKUP(AR$116+30,Kostengegevens!$AK$74:$BN$135,Stappen!$AA173,FALSE)</f>
        <v>0</v>
      </c>
      <c r="AS173" s="35">
        <f>HLOOKUP(AS$116+30,Kostengegevens!$AK$74:$BN$135,Stappen!$AA173,FALSE)</f>
        <v>0</v>
      </c>
      <c r="AT173" s="35">
        <f>HLOOKUP(AT$116+30,Kostengegevens!$AK$74:$BN$135,Stappen!$AA173,FALSE)</f>
        <v>0</v>
      </c>
      <c r="AU173" s="3"/>
      <c r="AV173" s="35">
        <f>HLOOKUP(AV$116+40,Kostengegevens!$AK$74:$BN$135,Stappen!$AA173,FALSE)</f>
        <v>0</v>
      </c>
      <c r="AW173" s="35">
        <f>HLOOKUP(AW$116+40,Kostengegevens!$AK$74:$BN$135,Stappen!$AA173,FALSE)</f>
        <v>0</v>
      </c>
      <c r="AX173" s="35">
        <f>HLOOKUP(AX$116+40,Kostengegevens!$AK$74:$BN$135,Stappen!$AA173,FALSE)</f>
        <v>0</v>
      </c>
      <c r="AY173" s="35">
        <f>HLOOKUP(AY$116+40,Kostengegevens!$AK$74:$BN$135,Stappen!$AA173,FALSE)</f>
        <v>0</v>
      </c>
      <c r="AZ173" s="3"/>
      <c r="BA173" s="35">
        <f>HLOOKUP(BA$116+50,Kostengegevens!$AK$74:$BN$135,Stappen!$AA173,FALSE)</f>
        <v>0</v>
      </c>
      <c r="BB173" s="35">
        <f>HLOOKUP(BB$116+50,Kostengegevens!$AK$74:$BN$135,Stappen!$AA173,FALSE)</f>
        <v>0</v>
      </c>
      <c r="BC173" s="35">
        <f>HLOOKUP(BC$116+50,Kostengegevens!$AK$74:$BN$135,Stappen!$AA173,FALSE)</f>
        <v>0</v>
      </c>
      <c r="BD173" s="35">
        <f>HLOOKUP(BD$116+50,Kostengegevens!$AK$74:$BN$135,Stappen!$AA173,FALSE)</f>
        <v>0</v>
      </c>
      <c r="BE173" s="3"/>
      <c r="BH173" s="57">
        <v>58</v>
      </c>
      <c r="BI173" s="53"/>
      <c r="BJ173" s="56"/>
      <c r="BK173" s="47"/>
      <c r="BL173" s="102"/>
      <c r="BM173" s="102"/>
      <c r="BN173" s="102"/>
      <c r="BO173" s="102"/>
      <c r="BP173" s="102"/>
      <c r="CA173" s="501"/>
      <c r="CB173" s="502"/>
      <c r="CC173" s="431"/>
      <c r="CD173" s="429"/>
      <c r="CE173" s="459"/>
      <c r="CF173" s="460"/>
      <c r="CG173" s="501"/>
      <c r="CH173" s="502"/>
      <c r="CI173" s="431"/>
      <c r="CJ173" s="429"/>
      <c r="CK173" s="459"/>
      <c r="CL173" s="460"/>
      <c r="CM173" s="501"/>
      <c r="CN173" s="502"/>
      <c r="CO173" s="431"/>
      <c r="CP173" s="429"/>
      <c r="CQ173" s="459"/>
      <c r="CR173" s="460"/>
      <c r="CS173" s="501"/>
      <c r="CT173" s="502"/>
      <c r="CU173" s="431"/>
      <c r="CV173" s="429"/>
      <c r="CW173" s="459"/>
      <c r="CX173" s="460"/>
      <c r="CY173" s="501"/>
      <c r="CZ173" s="502"/>
      <c r="DA173" s="431"/>
      <c r="DB173" s="429"/>
      <c r="DC173" s="459"/>
      <c r="DD173" s="460"/>
    </row>
    <row r="174" spans="1:108" x14ac:dyDescent="0.2">
      <c r="A174" s="49"/>
      <c r="B174" s="33">
        <v>90</v>
      </c>
      <c r="C174" s="212" t="s">
        <v>59</v>
      </c>
      <c r="D174" s="503"/>
      <c r="E174" s="502"/>
      <c r="F174" s="426">
        <f t="shared" ref="F174" si="235">BI174</f>
        <v>159.81308411214954</v>
      </c>
      <c r="G174" s="429">
        <f t="shared" ref="G174" si="236">BJ174</f>
        <v>159.81308411214954</v>
      </c>
      <c r="H174" s="459" t="s">
        <v>22</v>
      </c>
      <c r="I174" s="460"/>
      <c r="J174" s="156">
        <f t="shared" ref="J174" si="237">HLOOKUP($Z174,$AB$116:$AF$183,$AA174,FALSE)*$F174</f>
        <v>0</v>
      </c>
      <c r="K174" s="9">
        <f t="shared" si="90"/>
        <v>0</v>
      </c>
      <c r="L174" s="27">
        <f t="shared" si="91"/>
        <v>0</v>
      </c>
      <c r="M174" s="12">
        <f t="shared" si="92"/>
        <v>0</v>
      </c>
      <c r="N174" s="9">
        <f t="shared" si="93"/>
        <v>0</v>
      </c>
      <c r="O174" s="27">
        <f t="shared" si="94"/>
        <v>0</v>
      </c>
      <c r="T174" s="91" t="str">
        <f>CONCATENATE("ref: ",Referentieproject!T174)</f>
        <v>ref: 3 parkeren:50% verhard+50% tuinaanleg</v>
      </c>
      <c r="U174" s="263" t="s">
        <v>373</v>
      </c>
      <c r="V174" s="263" t="s">
        <v>372</v>
      </c>
      <c r="W174" s="263" t="s">
        <v>371</v>
      </c>
      <c r="X174" s="263" t="s">
        <v>370</v>
      </c>
      <c r="Y174" s="263" t="s">
        <v>62</v>
      </c>
      <c r="Z174" s="2">
        <f>IF(D254=T174,Referentieproject!Z174,IF(D254=U174,1,IF(D254=V174,2,IF(D254=W174,3,IF(D254=X174,4,5)))))</f>
        <v>5</v>
      </c>
      <c r="AA174" s="35">
        <f t="shared" si="95"/>
        <v>59</v>
      </c>
      <c r="AB174" s="35">
        <f>HLOOKUP(AB$116,Kostengegevens!$AK$74:$BN$135,Stappen!$AA174,FALSE)</f>
        <v>10.191454285712098</v>
      </c>
      <c r="AC174" s="35">
        <f>HLOOKUP(AC$116,Kostengegevens!$AK$74:$BN$135,Stappen!$AA174,FALSE)</f>
        <v>29.44535928570258</v>
      </c>
      <c r="AD174" s="35">
        <f>HLOOKUP(AD$116,Kostengegevens!$AK$74:$BN$135,Stappen!$AA174,FALSE)</f>
        <v>42.785909285703383</v>
      </c>
      <c r="AE174" s="35">
        <f>HLOOKUP(AE$116,Kostengegevens!$AK$74:$BN$135,Stappen!$AA174,FALSE)</f>
        <v>61.080651785715418</v>
      </c>
      <c r="AF174" s="3"/>
      <c r="AG174" s="35">
        <f>HLOOKUP(AG$116+10,Kostengegevens!$AK$74:$BN$135,Stappen!$AA174,FALSE)</f>
        <v>2.9028500000003987</v>
      </c>
      <c r="AH174" s="35">
        <f>HLOOKUP(AH$116+10,Kostengegevens!$AK$74:$BN$135,Stappen!$AA174,FALSE)</f>
        <v>7.6720124999992549</v>
      </c>
      <c r="AI174" s="35">
        <f>HLOOKUP(AI$116+10,Kostengegevens!$AK$74:$BN$135,Stappen!$AA174,FALSE)</f>
        <v>10.968037499997081</v>
      </c>
      <c r="AJ174" s="35">
        <f>HLOOKUP(AJ$116+10,Kostengegevens!$AK$74:$BN$135,Stappen!$AA174,FALSE)</f>
        <v>15.368068749999566</v>
      </c>
      <c r="AK174" s="3"/>
      <c r="AL174" s="35">
        <f>HLOOKUP(AL$116+20,Kostengegevens!$AK$74:$BN$135,Stappen!$AA174,FALSE)</f>
        <v>12.621989999999641</v>
      </c>
      <c r="AM174" s="35">
        <f>HLOOKUP(AM$116+20,Kostengegevens!$AK$74:$BN$135,Stappen!$AA174,FALSE)</f>
        <v>35.471645000001445</v>
      </c>
      <c r="AN174" s="35">
        <f>HLOOKUP(AN$116+20,Kostengegevens!$AK$74:$BN$135,Stappen!$AA174,FALSE)</f>
        <v>49.195169999999052</v>
      </c>
      <c r="AO174" s="35">
        <f>HLOOKUP(AO$116+20,Kostengegevens!$AK$74:$BN$135,Stappen!$AA174,FALSE)</f>
        <v>64.970452500000647</v>
      </c>
      <c r="AP174" s="3"/>
      <c r="AQ174" s="35">
        <f>HLOOKUP(AQ$116+30,Kostengegevens!$AK$74:$BN$135,Stappen!$AA174,FALSE)</f>
        <v>83.778995238069911</v>
      </c>
      <c r="AR174" s="35">
        <f>HLOOKUP(AR$116+30,Kostengegevens!$AK$74:$BN$135,Stappen!$AA174,FALSE)</f>
        <v>201.8403077381663</v>
      </c>
      <c r="AS174" s="35">
        <f>HLOOKUP(AS$116+30,Kostengegevens!$AK$74:$BN$135,Stappen!$AA174,FALSE)</f>
        <v>299.56250773812644</v>
      </c>
      <c r="AT174" s="35">
        <f>HLOOKUP(AT$116+30,Kostengegevens!$AK$74:$BN$135,Stappen!$AA174,FALSE)</f>
        <v>467.14867648808286</v>
      </c>
      <c r="AU174" s="3"/>
      <c r="AV174" s="35">
        <f>HLOOKUP(AV$116+40,Kostengegevens!$AK$74:$BN$135,Stappen!$AA174,FALSE)</f>
        <v>6.1075019047616479</v>
      </c>
      <c r="AW174" s="35">
        <f>HLOOKUP(AW$116+40,Kostengegevens!$AK$74:$BN$135,Stappen!$AA174,FALSE)</f>
        <v>16.893381904761554</v>
      </c>
      <c r="AX174" s="35">
        <f>HLOOKUP(AX$116+40,Kostengegevens!$AK$74:$BN$135,Stappen!$AA174,FALSE)</f>
        <v>24.977706904762272</v>
      </c>
      <c r="AY174" s="35">
        <f>HLOOKUP(AY$116+40,Kostengegevens!$AK$74:$BN$135,Stappen!$AA174,FALSE)</f>
        <v>28.176204404761393</v>
      </c>
      <c r="AZ174" s="3"/>
      <c r="BA174" s="35">
        <f>HLOOKUP(BA$116+50,Kostengegevens!$AK$74:$BN$135,Stappen!$AA174,FALSE)</f>
        <v>2.1759499999998297</v>
      </c>
      <c r="BB174" s="35">
        <f>HLOOKUP(BB$116+50,Kostengegevens!$AK$74:$BN$135,Stappen!$AA174,FALSE)</f>
        <v>7.1018737499998679</v>
      </c>
      <c r="BC174" s="35">
        <f>HLOOKUP(BC$116+50,Kostengegevens!$AK$74:$BN$135,Stappen!$AA174,FALSE)</f>
        <v>7.680373750000399</v>
      </c>
      <c r="BD174" s="35">
        <f>HLOOKUP(BD$116+50,Kostengegevens!$AK$74:$BN$135,Stappen!$AA174,FALSE)</f>
        <v>11.202655625000034</v>
      </c>
      <c r="BE174" s="3"/>
      <c r="BG174" s="2">
        <v>18</v>
      </c>
      <c r="BH174" s="57">
        <v>59</v>
      </c>
      <c r="BI174" s="35">
        <f>BJ174/BJ$41*BI$41</f>
        <v>159.81308411214954</v>
      </c>
      <c r="BJ174" s="56">
        <f>HLOOKUP(BJ$116,$BL$116:$BP$178,BH174,FALSE)*VLOOKUP($BG174,$BH$24:$BJ$46,3,FALSE)</f>
        <v>159.81308411214954</v>
      </c>
      <c r="BK174" s="47" t="s">
        <v>22</v>
      </c>
      <c r="BL174" s="102">
        <v>1</v>
      </c>
      <c r="BM174" s="102">
        <v>1</v>
      </c>
      <c r="BN174" s="102">
        <v>1</v>
      </c>
      <c r="BO174" s="102">
        <v>1</v>
      </c>
      <c r="BP174" s="102">
        <v>1</v>
      </c>
      <c r="BR174" s="2">
        <v>1</v>
      </c>
      <c r="BS174" s="2">
        <v>3</v>
      </c>
      <c r="BT174" s="2">
        <v>4</v>
      </c>
      <c r="BU174" s="2">
        <v>4</v>
      </c>
      <c r="CA174" s="503"/>
      <c r="CB174" s="502"/>
      <c r="CC174" s="426">
        <f t="shared" ref="CC174" si="238">EF174</f>
        <v>0</v>
      </c>
      <c r="CD174" s="429">
        <f t="shared" ref="CD174" si="239">EG174</f>
        <v>0</v>
      </c>
      <c r="CE174" s="459" t="s">
        <v>22</v>
      </c>
      <c r="CF174" s="460"/>
      <c r="CG174" s="503"/>
      <c r="CH174" s="502"/>
      <c r="CI174" s="426">
        <f t="shared" ref="CI174" si="240">EL174</f>
        <v>0</v>
      </c>
      <c r="CJ174" s="429">
        <f t="shared" ref="CJ174" si="241">EM174</f>
        <v>0</v>
      </c>
      <c r="CK174" s="459" t="s">
        <v>22</v>
      </c>
      <c r="CL174" s="460"/>
      <c r="CM174" s="503"/>
      <c r="CN174" s="502"/>
      <c r="CO174" s="426">
        <f t="shared" ref="CO174" si="242">ER174</f>
        <v>0</v>
      </c>
      <c r="CP174" s="429">
        <f t="shared" ref="CP174" si="243">ES174</f>
        <v>0</v>
      </c>
      <c r="CQ174" s="459" t="s">
        <v>22</v>
      </c>
      <c r="CR174" s="460"/>
      <c r="CS174" s="503"/>
      <c r="CT174" s="502"/>
      <c r="CU174" s="426">
        <f t="shared" ref="CU174" si="244">EX174</f>
        <v>0</v>
      </c>
      <c r="CV174" s="429">
        <f t="shared" ref="CV174" si="245">EY174</f>
        <v>0</v>
      </c>
      <c r="CW174" s="459" t="s">
        <v>22</v>
      </c>
      <c r="CX174" s="460"/>
      <c r="CY174" s="503"/>
      <c r="CZ174" s="502"/>
      <c r="DA174" s="426"/>
      <c r="DB174" s="429"/>
      <c r="DC174" s="459"/>
      <c r="DD174" s="460"/>
    </row>
    <row r="175" spans="1:108" x14ac:dyDescent="0.2">
      <c r="C175" s="15" t="s">
        <v>236</v>
      </c>
      <c r="D175" s="461"/>
      <c r="E175" s="502"/>
      <c r="F175" s="431"/>
      <c r="G175" s="429"/>
      <c r="H175" s="459"/>
      <c r="I175" s="460"/>
      <c r="J175" s="6"/>
      <c r="K175" s="9"/>
      <c r="L175" s="27"/>
      <c r="M175" s="12"/>
      <c r="N175" s="9"/>
      <c r="O175" s="27"/>
      <c r="P175" s="84"/>
      <c r="T175" s="91"/>
      <c r="U175" s="263"/>
      <c r="V175" s="263"/>
      <c r="W175" s="263"/>
      <c r="X175" s="263"/>
      <c r="Y175" s="263"/>
      <c r="AA175" s="35">
        <f t="shared" si="95"/>
        <v>60</v>
      </c>
      <c r="AB175" s="35">
        <f>HLOOKUP(AB$116,Kostengegevens!$AK$74:$BN$135,Stappen!$AA175,FALSE)</f>
        <v>0</v>
      </c>
      <c r="AC175" s="35">
        <f>HLOOKUP(AC$116,Kostengegevens!$AK$74:$BN$135,Stappen!$AA175,FALSE)</f>
        <v>0</v>
      </c>
      <c r="AD175" s="35">
        <f>HLOOKUP(AD$116,Kostengegevens!$AK$74:$BN$135,Stappen!$AA175,FALSE)</f>
        <v>0</v>
      </c>
      <c r="AE175" s="35">
        <f>HLOOKUP(AE$116,Kostengegevens!$AK$74:$BN$135,Stappen!$AA175,FALSE)</f>
        <v>0</v>
      </c>
      <c r="AF175" s="3"/>
      <c r="AG175" s="35">
        <f>HLOOKUP(AG$116+10,Kostengegevens!$AK$74:$BN$135,Stappen!$AA175,FALSE)</f>
        <v>0</v>
      </c>
      <c r="AH175" s="35">
        <f>HLOOKUP(AH$116+10,Kostengegevens!$AK$74:$BN$135,Stappen!$AA175,FALSE)</f>
        <v>0</v>
      </c>
      <c r="AI175" s="35">
        <f>HLOOKUP(AI$116+10,Kostengegevens!$AK$74:$BN$135,Stappen!$AA175,FALSE)</f>
        <v>0</v>
      </c>
      <c r="AJ175" s="35">
        <f>HLOOKUP(AJ$116+10,Kostengegevens!$AK$74:$BN$135,Stappen!$AA175,FALSE)</f>
        <v>0</v>
      </c>
      <c r="AK175" s="3"/>
      <c r="AL175" s="35">
        <f>HLOOKUP(AL$116+20,Kostengegevens!$AK$74:$BN$135,Stappen!$AA175,FALSE)</f>
        <v>0</v>
      </c>
      <c r="AM175" s="35">
        <f>HLOOKUP(AM$116+20,Kostengegevens!$AK$74:$BN$135,Stappen!$AA175,FALSE)</f>
        <v>0</v>
      </c>
      <c r="AN175" s="35">
        <f>HLOOKUP(AN$116+20,Kostengegevens!$AK$74:$BN$135,Stappen!$AA175,FALSE)</f>
        <v>0</v>
      </c>
      <c r="AO175" s="35">
        <f>HLOOKUP(AO$116+20,Kostengegevens!$AK$74:$BN$135,Stappen!$AA175,FALSE)</f>
        <v>0</v>
      </c>
      <c r="AP175" s="3"/>
      <c r="AQ175" s="35">
        <f>HLOOKUP(AQ$116+30,Kostengegevens!$AK$74:$BN$135,Stappen!$AA175,FALSE)</f>
        <v>0</v>
      </c>
      <c r="AR175" s="35">
        <f>HLOOKUP(AR$116+30,Kostengegevens!$AK$74:$BN$135,Stappen!$AA175,FALSE)</f>
        <v>0</v>
      </c>
      <c r="AS175" s="35">
        <f>HLOOKUP(AS$116+30,Kostengegevens!$AK$74:$BN$135,Stappen!$AA175,FALSE)</f>
        <v>0</v>
      </c>
      <c r="AT175" s="35">
        <f>HLOOKUP(AT$116+30,Kostengegevens!$AK$74:$BN$135,Stappen!$AA175,FALSE)</f>
        <v>0</v>
      </c>
      <c r="AU175" s="3"/>
      <c r="AV175" s="35">
        <f>HLOOKUP(AV$116+40,Kostengegevens!$AK$74:$BN$135,Stappen!$AA175,FALSE)</f>
        <v>0</v>
      </c>
      <c r="AW175" s="35">
        <f>HLOOKUP(AW$116+40,Kostengegevens!$AK$74:$BN$135,Stappen!$AA175,FALSE)</f>
        <v>0</v>
      </c>
      <c r="AX175" s="35">
        <f>HLOOKUP(AX$116+40,Kostengegevens!$AK$74:$BN$135,Stappen!$AA175,FALSE)</f>
        <v>0</v>
      </c>
      <c r="AY175" s="35">
        <f>HLOOKUP(AY$116+40,Kostengegevens!$AK$74:$BN$135,Stappen!$AA175,FALSE)</f>
        <v>0</v>
      </c>
      <c r="AZ175" s="3"/>
      <c r="BA175" s="35">
        <f>HLOOKUP(BA$116+50,Kostengegevens!$AK$74:$BN$135,Stappen!$AA175,FALSE)</f>
        <v>0</v>
      </c>
      <c r="BB175" s="35">
        <f>HLOOKUP(BB$116+50,Kostengegevens!$AK$74:$BN$135,Stappen!$AA175,FALSE)</f>
        <v>0</v>
      </c>
      <c r="BC175" s="35">
        <f>HLOOKUP(BC$116+50,Kostengegevens!$AK$74:$BN$135,Stappen!$AA175,FALSE)</f>
        <v>0</v>
      </c>
      <c r="BD175" s="35">
        <f>HLOOKUP(BD$116+50,Kostengegevens!$AK$74:$BN$135,Stappen!$AA175,FALSE)</f>
        <v>0</v>
      </c>
      <c r="BE175" s="3"/>
      <c r="BH175" s="57">
        <v>60</v>
      </c>
      <c r="BI175" s="53"/>
      <c r="BJ175" s="58"/>
      <c r="BK175" s="48"/>
      <c r="BL175" s="102"/>
      <c r="BM175" s="102"/>
      <c r="BN175" s="102"/>
      <c r="BO175" s="102"/>
      <c r="BP175" s="102"/>
      <c r="CA175" s="461"/>
      <c r="CB175" s="502"/>
      <c r="CC175" s="431"/>
      <c r="CD175" s="429"/>
      <c r="CE175" s="459"/>
      <c r="CF175" s="460"/>
      <c r="CG175" s="461"/>
      <c r="CH175" s="502"/>
      <c r="CI175" s="431"/>
      <c r="CJ175" s="429"/>
      <c r="CK175" s="459"/>
      <c r="CL175" s="460"/>
      <c r="CM175" s="461"/>
      <c r="CN175" s="502"/>
      <c r="CO175" s="431"/>
      <c r="CP175" s="429"/>
      <c r="CQ175" s="459"/>
      <c r="CR175" s="460"/>
      <c r="CS175" s="461"/>
      <c r="CT175" s="502"/>
      <c r="CU175" s="431"/>
      <c r="CV175" s="429"/>
      <c r="CW175" s="459"/>
      <c r="CX175" s="460"/>
      <c r="CY175" s="461"/>
      <c r="CZ175" s="502"/>
      <c r="DA175" s="431"/>
      <c r="DB175" s="429"/>
      <c r="DC175" s="459"/>
      <c r="DD175" s="460"/>
    </row>
    <row r="176" spans="1:108" x14ac:dyDescent="0.2">
      <c r="A176" s="1" t="s">
        <v>177</v>
      </c>
      <c r="C176" s="211" t="s">
        <v>236</v>
      </c>
      <c r="D176" s="501"/>
      <c r="E176" s="502"/>
      <c r="F176" s="431"/>
      <c r="G176" s="429"/>
      <c r="H176" s="459"/>
      <c r="I176" s="460"/>
      <c r="J176" s="6"/>
      <c r="K176" s="9"/>
      <c r="L176" s="27"/>
      <c r="M176" s="12"/>
      <c r="N176" s="9"/>
      <c r="O176" s="27"/>
      <c r="P176" s="84"/>
      <c r="T176" s="91"/>
      <c r="U176" s="263"/>
      <c r="V176" s="263"/>
      <c r="W176" s="263"/>
      <c r="X176" s="263"/>
      <c r="Y176" s="263"/>
      <c r="AA176" s="35">
        <f t="shared" si="95"/>
        <v>61</v>
      </c>
      <c r="AB176" s="35">
        <f>HLOOKUP(AB$116,Kostengegevens!$AK$74:$BN$135,Stappen!$AA176,FALSE)</f>
        <v>0</v>
      </c>
      <c r="AC176" s="35">
        <f>HLOOKUP(AC$116,Kostengegevens!$AK$74:$BN$135,Stappen!$AA176,FALSE)</f>
        <v>0</v>
      </c>
      <c r="AD176" s="35">
        <f>HLOOKUP(AD$116,Kostengegevens!$AK$74:$BN$135,Stappen!$AA176,FALSE)</f>
        <v>0</v>
      </c>
      <c r="AE176" s="35">
        <f>HLOOKUP(AE$116,Kostengegevens!$AK$74:$BN$135,Stappen!$AA176,FALSE)</f>
        <v>0</v>
      </c>
      <c r="AF176" s="3"/>
      <c r="AG176" s="35">
        <f>HLOOKUP(AG$116+10,Kostengegevens!$AK$74:$BN$135,Stappen!$AA176,FALSE)</f>
        <v>0</v>
      </c>
      <c r="AH176" s="35">
        <f>HLOOKUP(AH$116+10,Kostengegevens!$AK$74:$BN$135,Stappen!$AA176,FALSE)</f>
        <v>0</v>
      </c>
      <c r="AI176" s="35">
        <f>HLOOKUP(AI$116+10,Kostengegevens!$AK$74:$BN$135,Stappen!$AA176,FALSE)</f>
        <v>0</v>
      </c>
      <c r="AJ176" s="35">
        <f>HLOOKUP(AJ$116+10,Kostengegevens!$AK$74:$BN$135,Stappen!$AA176,FALSE)</f>
        <v>0</v>
      </c>
      <c r="AK176" s="3"/>
      <c r="AL176" s="35">
        <f>HLOOKUP(AL$116+20,Kostengegevens!$AK$74:$BN$135,Stappen!$AA176,FALSE)</f>
        <v>0</v>
      </c>
      <c r="AM176" s="35">
        <f>HLOOKUP(AM$116+20,Kostengegevens!$AK$74:$BN$135,Stappen!$AA176,FALSE)</f>
        <v>0</v>
      </c>
      <c r="AN176" s="35">
        <f>HLOOKUP(AN$116+20,Kostengegevens!$AK$74:$BN$135,Stappen!$AA176,FALSE)</f>
        <v>0</v>
      </c>
      <c r="AO176" s="35">
        <f>HLOOKUP(AO$116+20,Kostengegevens!$AK$74:$BN$135,Stappen!$AA176,FALSE)</f>
        <v>0</v>
      </c>
      <c r="AP176" s="3"/>
      <c r="AQ176" s="35">
        <f>HLOOKUP(AQ$116+30,Kostengegevens!$AK$74:$BN$135,Stappen!$AA176,FALSE)</f>
        <v>0</v>
      </c>
      <c r="AR176" s="35">
        <f>HLOOKUP(AR$116+30,Kostengegevens!$AK$74:$BN$135,Stappen!$AA176,FALSE)</f>
        <v>0</v>
      </c>
      <c r="AS176" s="35">
        <f>HLOOKUP(AS$116+30,Kostengegevens!$AK$74:$BN$135,Stappen!$AA176,FALSE)</f>
        <v>0</v>
      </c>
      <c r="AT176" s="35">
        <f>HLOOKUP(AT$116+30,Kostengegevens!$AK$74:$BN$135,Stappen!$AA176,FALSE)</f>
        <v>0</v>
      </c>
      <c r="AU176" s="3"/>
      <c r="AV176" s="35">
        <f>HLOOKUP(AV$116+40,Kostengegevens!$AK$74:$BN$135,Stappen!$AA176,FALSE)</f>
        <v>0</v>
      </c>
      <c r="AW176" s="35">
        <f>HLOOKUP(AW$116+40,Kostengegevens!$AK$74:$BN$135,Stappen!$AA176,FALSE)</f>
        <v>0</v>
      </c>
      <c r="AX176" s="35">
        <f>HLOOKUP(AX$116+40,Kostengegevens!$AK$74:$BN$135,Stappen!$AA176,FALSE)</f>
        <v>0</v>
      </c>
      <c r="AY176" s="35">
        <f>HLOOKUP(AY$116+40,Kostengegevens!$AK$74:$BN$135,Stappen!$AA176,FALSE)</f>
        <v>0</v>
      </c>
      <c r="AZ176" s="3"/>
      <c r="BA176" s="35">
        <f>HLOOKUP(BA$116+50,Kostengegevens!$AK$74:$BN$135,Stappen!$AA176,FALSE)</f>
        <v>0</v>
      </c>
      <c r="BB176" s="35">
        <f>HLOOKUP(BB$116+50,Kostengegevens!$AK$74:$BN$135,Stappen!$AA176,FALSE)</f>
        <v>0</v>
      </c>
      <c r="BC176" s="35">
        <f>HLOOKUP(BC$116+50,Kostengegevens!$AK$74:$BN$135,Stappen!$AA176,FALSE)</f>
        <v>0</v>
      </c>
      <c r="BD176" s="35">
        <f>HLOOKUP(BD$116+50,Kostengegevens!$AK$74:$BN$135,Stappen!$AA176,FALSE)</f>
        <v>0</v>
      </c>
      <c r="BE176" s="3"/>
      <c r="BH176" s="57">
        <v>61</v>
      </c>
      <c r="BI176" s="53"/>
      <c r="BJ176" s="56"/>
      <c r="BK176" s="47"/>
      <c r="BL176" s="102"/>
      <c r="BM176" s="102"/>
      <c r="BN176" s="102"/>
      <c r="BO176" s="102"/>
      <c r="BP176" s="102"/>
      <c r="CA176" s="501"/>
      <c r="CB176" s="502"/>
      <c r="CC176" s="431"/>
      <c r="CD176" s="429"/>
      <c r="CE176" s="459"/>
      <c r="CF176" s="460"/>
      <c r="CG176" s="501"/>
      <c r="CH176" s="502"/>
      <c r="CI176" s="431"/>
      <c r="CJ176" s="429"/>
      <c r="CK176" s="459"/>
      <c r="CL176" s="460"/>
      <c r="CM176" s="501"/>
      <c r="CN176" s="502"/>
      <c r="CO176" s="431"/>
      <c r="CP176" s="429"/>
      <c r="CQ176" s="459"/>
      <c r="CR176" s="460"/>
      <c r="CS176" s="501"/>
      <c r="CT176" s="502"/>
      <c r="CU176" s="431"/>
      <c r="CV176" s="429"/>
      <c r="CW176" s="459"/>
      <c r="CX176" s="460"/>
      <c r="CY176" s="501"/>
      <c r="CZ176" s="502"/>
      <c r="DA176" s="431"/>
      <c r="DB176" s="429"/>
      <c r="DC176" s="459"/>
      <c r="DD176" s="460"/>
    </row>
    <row r="177" spans="1:108" x14ac:dyDescent="0.2">
      <c r="A177" s="49"/>
      <c r="B177" s="33">
        <v>99</v>
      </c>
      <c r="C177" s="212" t="s">
        <v>236</v>
      </c>
      <c r="D177" s="503"/>
      <c r="E177" s="502"/>
      <c r="F177" s="426">
        <f t="shared" ref="F177" si="246">BI177</f>
        <v>150</v>
      </c>
      <c r="G177" s="429">
        <f t="shared" ref="G177" si="247">BJ177</f>
        <v>150</v>
      </c>
      <c r="H177" s="459" t="s">
        <v>22</v>
      </c>
      <c r="I177" s="460"/>
      <c r="J177" s="6">
        <f>SUM(J117:J175)*HLOOKUP($Z177,$AB$116:$AF$183,$AA177,FALSE)</f>
        <v>0</v>
      </c>
      <c r="K177" s="9">
        <f>SUM(K117:K175)*HLOOKUP($Z177,$AB$116:$AF$183,$AA177,FALSE)</f>
        <v>0</v>
      </c>
      <c r="L177" s="27">
        <f t="shared" ref="L177:O177" si="248">SUM(L117:L175)*HLOOKUP($Z177,$AB$116:$AF$183,$AA177,FALSE)</f>
        <v>0</v>
      </c>
      <c r="M177" s="12">
        <f t="shared" si="248"/>
        <v>0</v>
      </c>
      <c r="N177" s="9">
        <f t="shared" si="248"/>
        <v>0</v>
      </c>
      <c r="O177" s="27">
        <f t="shared" si="248"/>
        <v>0</v>
      </c>
      <c r="T177" s="91" t="str">
        <f>CONCATENATE("ref: ",Referentieproject!T177)</f>
        <v>ref: 1 bouwk.en install.; post 2%</v>
      </c>
      <c r="U177" s="263" t="s">
        <v>341</v>
      </c>
      <c r="V177" s="263" t="s">
        <v>510</v>
      </c>
      <c r="W177" s="263" t="s">
        <v>511</v>
      </c>
      <c r="X177" s="263" t="s">
        <v>512</v>
      </c>
      <c r="Y177" s="263" t="s">
        <v>62</v>
      </c>
      <c r="Z177" s="2">
        <f>IF(D257=T177,Referentieproject!Z177,IF(D257=U177,1,IF(D257=V177,2,IF(D257=W177,3,IF(D257=X177,4,5)))))</f>
        <v>5</v>
      </c>
      <c r="AA177" s="35">
        <f t="shared" si="95"/>
        <v>62</v>
      </c>
      <c r="AB177" s="380">
        <v>0.01</v>
      </c>
      <c r="AC177" s="380">
        <v>0.02</v>
      </c>
      <c r="AD177" s="380">
        <v>0.05</v>
      </c>
      <c r="AE177" s="380">
        <v>0.1</v>
      </c>
      <c r="AF177" s="3"/>
      <c r="AG177" s="380">
        <v>0.01</v>
      </c>
      <c r="AH177" s="380">
        <v>0.02</v>
      </c>
      <c r="AI177" s="380">
        <v>0.05</v>
      </c>
      <c r="AJ177" s="380">
        <v>0.1</v>
      </c>
      <c r="AK177" s="3"/>
      <c r="AL177" s="380">
        <v>0.01</v>
      </c>
      <c r="AM177" s="380">
        <v>0.02</v>
      </c>
      <c r="AN177" s="380">
        <v>0.05</v>
      </c>
      <c r="AO177" s="380">
        <v>0.1</v>
      </c>
      <c r="AP177" s="3"/>
      <c r="AQ177" s="380">
        <v>0.01</v>
      </c>
      <c r="AR177" s="380">
        <v>0.02</v>
      </c>
      <c r="AS177" s="380">
        <v>0.05</v>
      </c>
      <c r="AT177" s="380">
        <v>0.1</v>
      </c>
      <c r="AU177" s="3"/>
      <c r="AV177" s="380">
        <v>0.01</v>
      </c>
      <c r="AW177" s="380">
        <v>0.02</v>
      </c>
      <c r="AX177" s="380">
        <v>0.05</v>
      </c>
      <c r="AY177" s="380">
        <v>0.1</v>
      </c>
      <c r="AZ177" s="3"/>
      <c r="BA177" s="380">
        <v>0.01</v>
      </c>
      <c r="BB177" s="380">
        <v>0.02</v>
      </c>
      <c r="BC177" s="380">
        <v>0.05</v>
      </c>
      <c r="BD177" s="380">
        <v>0.1</v>
      </c>
      <c r="BE177" s="3"/>
      <c r="BG177" s="2">
        <v>20</v>
      </c>
      <c r="BH177" s="57">
        <v>62</v>
      </c>
      <c r="BI177" s="35">
        <f>BJ177/BJ$43*BI$43</f>
        <v>150</v>
      </c>
      <c r="BJ177" s="56">
        <f>HLOOKUP(BJ$116,$BL$116:$BP$178,BH177,FALSE)*VLOOKUP($BG177,$BH$24:$BJ$46,3,FALSE)</f>
        <v>150</v>
      </c>
      <c r="BK177" s="47" t="s">
        <v>22</v>
      </c>
      <c r="BL177" s="102">
        <v>1</v>
      </c>
      <c r="BM177" s="102">
        <v>1</v>
      </c>
      <c r="BN177" s="102">
        <v>1</v>
      </c>
      <c r="BO177" s="102">
        <v>1</v>
      </c>
      <c r="BP177" s="102">
        <v>1</v>
      </c>
      <c r="BR177" s="2">
        <v>1</v>
      </c>
      <c r="BS177" s="2">
        <v>2</v>
      </c>
      <c r="BT177" s="2">
        <v>1</v>
      </c>
      <c r="BU177" s="2">
        <v>1</v>
      </c>
      <c r="CA177" s="503"/>
      <c r="CB177" s="502"/>
      <c r="CC177" s="426">
        <f t="shared" ref="CC177" si="249">EF177</f>
        <v>0</v>
      </c>
      <c r="CD177" s="429">
        <f t="shared" ref="CD177" si="250">EG177</f>
        <v>0</v>
      </c>
      <c r="CE177" s="459" t="s">
        <v>22</v>
      </c>
      <c r="CF177" s="460"/>
      <c r="CG177" s="503"/>
      <c r="CH177" s="502"/>
      <c r="CI177" s="426">
        <f t="shared" ref="CI177" si="251">EL177</f>
        <v>0</v>
      </c>
      <c r="CJ177" s="429">
        <f t="shared" ref="CJ177" si="252">EM177</f>
        <v>0</v>
      </c>
      <c r="CK177" s="459" t="s">
        <v>22</v>
      </c>
      <c r="CL177" s="460"/>
      <c r="CM177" s="503"/>
      <c r="CN177" s="502"/>
      <c r="CO177" s="426">
        <f t="shared" ref="CO177" si="253">ER177</f>
        <v>0</v>
      </c>
      <c r="CP177" s="429">
        <f t="shared" ref="CP177" si="254">ES177</f>
        <v>0</v>
      </c>
      <c r="CQ177" s="459" t="s">
        <v>22</v>
      </c>
      <c r="CR177" s="460"/>
      <c r="CS177" s="503"/>
      <c r="CT177" s="502"/>
      <c r="CU177" s="426">
        <f t="shared" ref="CU177" si="255">EX177</f>
        <v>0</v>
      </c>
      <c r="CV177" s="429">
        <f t="shared" ref="CV177" si="256">EY177</f>
        <v>0</v>
      </c>
      <c r="CW177" s="459" t="s">
        <v>22</v>
      </c>
      <c r="CX177" s="460"/>
      <c r="CY177" s="503"/>
      <c r="CZ177" s="502"/>
      <c r="DA177" s="426"/>
      <c r="DB177" s="429"/>
      <c r="DC177" s="459"/>
      <c r="DD177" s="460"/>
    </row>
    <row r="178" spans="1:108" ht="6" customHeight="1" x14ac:dyDescent="0.2">
      <c r="C178" s="17"/>
      <c r="D178" s="490"/>
      <c r="E178" s="506"/>
      <c r="F178" s="493"/>
      <c r="G178" s="507"/>
      <c r="H178" s="493"/>
      <c r="I178" s="508"/>
      <c r="J178" s="7"/>
      <c r="K178" s="10"/>
      <c r="L178" s="28"/>
      <c r="M178" s="13"/>
      <c r="N178" s="10"/>
      <c r="O178" s="28"/>
      <c r="P178" s="84"/>
      <c r="AA178" s="35"/>
      <c r="AB178" s="35"/>
      <c r="AC178" s="35"/>
      <c r="AD178" s="35"/>
      <c r="AE178" s="35"/>
      <c r="AF178" s="3"/>
      <c r="AG178" s="35"/>
      <c r="AH178" s="35"/>
      <c r="AI178" s="35"/>
      <c r="AJ178" s="35"/>
      <c r="AK178" s="3"/>
      <c r="AL178" s="35"/>
      <c r="AM178" s="35"/>
      <c r="AN178" s="35"/>
      <c r="AO178" s="35"/>
      <c r="AP178" s="3"/>
      <c r="AQ178" s="35"/>
      <c r="AR178" s="35"/>
      <c r="AS178" s="35"/>
      <c r="AT178" s="35"/>
      <c r="AU178" s="3"/>
      <c r="AV178" s="35"/>
      <c r="AW178" s="35"/>
      <c r="AX178" s="35"/>
      <c r="AY178" s="35"/>
      <c r="AZ178" s="3"/>
      <c r="BA178" s="35"/>
      <c r="BB178" s="35"/>
      <c r="BC178" s="35"/>
      <c r="BD178" s="35"/>
      <c r="BE178" s="3"/>
      <c r="BH178" s="57"/>
      <c r="BI178" s="79"/>
      <c r="CA178" s="490"/>
      <c r="CB178" s="506"/>
      <c r="CC178" s="493"/>
      <c r="CD178" s="507"/>
      <c r="CE178" s="493"/>
      <c r="CF178" s="508"/>
      <c r="CG178" s="490"/>
      <c r="CH178" s="506"/>
      <c r="CI178" s="493"/>
      <c r="CJ178" s="507"/>
      <c r="CK178" s="493"/>
      <c r="CL178" s="508"/>
      <c r="CM178" s="490"/>
      <c r="CN178" s="506"/>
      <c r="CO178" s="493"/>
      <c r="CP178" s="507"/>
      <c r="CQ178" s="493"/>
      <c r="CR178" s="508"/>
      <c r="CS178" s="490"/>
      <c r="CT178" s="506"/>
      <c r="CU178" s="493"/>
      <c r="CV178" s="507"/>
      <c r="CW178" s="493"/>
      <c r="CX178" s="508"/>
      <c r="CY178" s="490"/>
      <c r="CZ178" s="506"/>
      <c r="DA178" s="493"/>
      <c r="DB178" s="507"/>
      <c r="DC178" s="493"/>
      <c r="DD178" s="508"/>
    </row>
    <row r="179" spans="1:108" ht="6" customHeight="1" x14ac:dyDescent="0.2">
      <c r="C179" s="203"/>
      <c r="D179" s="437"/>
      <c r="E179" s="464"/>
      <c r="F179" s="464"/>
      <c r="G179" s="465"/>
      <c r="H179" s="440"/>
      <c r="I179" s="437"/>
      <c r="AA179" s="35"/>
      <c r="AB179" s="344"/>
      <c r="AC179" s="344"/>
      <c r="AD179" s="344"/>
      <c r="AE179" s="344"/>
      <c r="AF179" s="345"/>
      <c r="AG179" s="346"/>
      <c r="AH179" s="346"/>
      <c r="AI179" s="346"/>
      <c r="AJ179" s="346"/>
      <c r="AK179" s="347"/>
      <c r="AL179" s="346"/>
      <c r="AM179" s="346"/>
      <c r="AN179" s="346"/>
      <c r="AO179" s="346"/>
      <c r="AP179" s="347"/>
      <c r="AQ179" s="346"/>
      <c r="AR179" s="346"/>
      <c r="AS179" s="346"/>
      <c r="AT179" s="346"/>
      <c r="AU179" s="347"/>
      <c r="AV179" s="346"/>
      <c r="AW179" s="346"/>
      <c r="AX179" s="346"/>
      <c r="AY179" s="346"/>
      <c r="AZ179" s="347"/>
      <c r="BA179" s="346"/>
      <c r="BB179" s="346"/>
      <c r="BC179" s="346"/>
      <c r="BD179" s="346"/>
      <c r="BE179" s="347"/>
      <c r="BF179" s="71"/>
      <c r="BG179" s="71"/>
      <c r="BH179" s="98"/>
      <c r="BI179" s="71"/>
      <c r="BJ179" s="72"/>
      <c r="BL179" s="73"/>
      <c r="BM179" s="72"/>
      <c r="BN179" s="72"/>
      <c r="BO179" s="72"/>
      <c r="BP179" s="72"/>
      <c r="BR179" s="73"/>
      <c r="BS179" s="72"/>
      <c r="BT179" s="72"/>
      <c r="BU179" s="72"/>
      <c r="BV179" s="72"/>
      <c r="CA179" s="437"/>
      <c r="CB179" s="464"/>
      <c r="CC179" s="464"/>
      <c r="CD179" s="465"/>
      <c r="CE179" s="440"/>
      <c r="CF179" s="437"/>
      <c r="CG179" s="437"/>
      <c r="CH179" s="464"/>
      <c r="CI179" s="464"/>
      <c r="CJ179" s="465"/>
      <c r="CK179" s="440"/>
      <c r="CL179" s="437"/>
      <c r="CM179" s="437"/>
      <c r="CN179" s="464"/>
      <c r="CO179" s="464"/>
      <c r="CP179" s="465"/>
      <c r="CQ179" s="440"/>
      <c r="CR179" s="437"/>
      <c r="CS179" s="437"/>
      <c r="CT179" s="464"/>
      <c r="CU179" s="464"/>
      <c r="CV179" s="465"/>
      <c r="CW179" s="440"/>
      <c r="CX179" s="437"/>
      <c r="CY179" s="437"/>
      <c r="CZ179" s="464"/>
      <c r="DA179" s="464"/>
      <c r="DB179" s="465"/>
      <c r="DC179" s="440"/>
      <c r="DD179" s="437"/>
    </row>
    <row r="180" spans="1:108" ht="12.75" customHeight="1" x14ac:dyDescent="0.2">
      <c r="C180" s="188" t="s">
        <v>287</v>
      </c>
      <c r="D180" s="466"/>
      <c r="E180" s="452"/>
      <c r="F180" s="453">
        <f>F$45</f>
        <v>150</v>
      </c>
      <c r="G180" s="454">
        <f>G$45</f>
        <v>150</v>
      </c>
      <c r="H180" s="455" t="s">
        <v>22</v>
      </c>
      <c r="I180" s="456"/>
      <c r="J180" s="20">
        <f t="shared" ref="J180:N180" si="257">SUM(J115:J178)</f>
        <v>73696.828204709411</v>
      </c>
      <c r="K180" s="8">
        <f t="shared" si="257"/>
        <v>15425.621013530508</v>
      </c>
      <c r="L180" s="26">
        <f t="shared" si="257"/>
        <v>42162.867443734933</v>
      </c>
      <c r="M180" s="11">
        <f t="shared" si="257"/>
        <v>512395.68579629296</v>
      </c>
      <c r="N180" s="8">
        <f t="shared" si="257"/>
        <v>13086.925149561281</v>
      </c>
      <c r="O180" s="26">
        <f>SUM(O115:O178)</f>
        <v>8368.5832495077921</v>
      </c>
      <c r="AA180" s="35"/>
      <c r="AB180" s="35"/>
      <c r="AC180" s="35"/>
      <c r="AD180" s="35"/>
      <c r="AE180" s="35"/>
      <c r="AG180" s="35"/>
      <c r="AH180" s="35"/>
      <c r="AI180" s="35"/>
      <c r="AJ180" s="35"/>
      <c r="AL180" s="35"/>
      <c r="AM180" s="35"/>
      <c r="AN180" s="35"/>
      <c r="AO180" s="35"/>
      <c r="AQ180" s="35"/>
      <c r="AR180" s="35"/>
      <c r="AS180" s="35"/>
      <c r="AT180" s="35"/>
      <c r="AV180" s="35"/>
      <c r="AW180" s="35"/>
      <c r="AX180" s="35"/>
      <c r="AY180" s="35"/>
      <c r="BA180" s="35"/>
      <c r="BB180" s="35"/>
      <c r="BC180" s="35"/>
      <c r="BD180" s="35"/>
      <c r="CA180" s="466"/>
      <c r="CB180" s="452"/>
      <c r="CC180" s="453">
        <f>CC$45</f>
        <v>0</v>
      </c>
      <c r="CD180" s="454">
        <f>CD$45</f>
        <v>0</v>
      </c>
      <c r="CE180" s="455" t="s">
        <v>22</v>
      </c>
      <c r="CF180" s="456"/>
      <c r="CG180" s="466"/>
      <c r="CH180" s="452"/>
      <c r="CI180" s="453">
        <f>CI$45</f>
        <v>0</v>
      </c>
      <c r="CJ180" s="454">
        <f>CJ$45</f>
        <v>0</v>
      </c>
      <c r="CK180" s="455" t="s">
        <v>22</v>
      </c>
      <c r="CL180" s="456"/>
      <c r="CM180" s="466"/>
      <c r="CN180" s="452"/>
      <c r="CO180" s="453">
        <f>CO$45</f>
        <v>0</v>
      </c>
      <c r="CP180" s="454">
        <f>CP$45</f>
        <v>0</v>
      </c>
      <c r="CQ180" s="455" t="s">
        <v>22</v>
      </c>
      <c r="CR180" s="456"/>
      <c r="CS180" s="466"/>
      <c r="CT180" s="452"/>
      <c r="CU180" s="453">
        <f>CU$45</f>
        <v>0</v>
      </c>
      <c r="CV180" s="454">
        <f>CV$45</f>
        <v>0</v>
      </c>
      <c r="CW180" s="455" t="s">
        <v>22</v>
      </c>
      <c r="CX180" s="456"/>
      <c r="CY180" s="466"/>
      <c r="CZ180" s="452"/>
      <c r="DA180" s="453"/>
      <c r="DB180" s="454"/>
      <c r="DC180" s="455"/>
      <c r="DD180" s="456"/>
    </row>
    <row r="181" spans="1:108" ht="12.75" customHeight="1" x14ac:dyDescent="0.2">
      <c r="C181" s="16" t="s">
        <v>243</v>
      </c>
      <c r="D181" s="427"/>
      <c r="E181" s="428"/>
      <c r="F181" s="431">
        <f>F180</f>
        <v>150</v>
      </c>
      <c r="G181" s="429">
        <f>G180</f>
        <v>150</v>
      </c>
      <c r="H181" s="457" t="s">
        <v>22</v>
      </c>
      <c r="I181" s="458"/>
      <c r="J181" s="6">
        <f>J$46</f>
        <v>11250.000000000002</v>
      </c>
      <c r="K181" s="9">
        <f t="shared" ref="K181:O181" si="258">K$46</f>
        <v>1800.0000000000002</v>
      </c>
      <c r="L181" s="27">
        <f t="shared" si="258"/>
        <v>4769.200395347716</v>
      </c>
      <c r="M181" s="12">
        <f t="shared" si="258"/>
        <v>68834.509291799186</v>
      </c>
      <c r="N181" s="9">
        <f t="shared" si="258"/>
        <v>450.19808854828722</v>
      </c>
      <c r="O181" s="27">
        <f t="shared" si="258"/>
        <v>492.39888334153278</v>
      </c>
      <c r="AA181" s="35"/>
      <c r="AB181" s="35"/>
      <c r="AC181" s="35"/>
      <c r="AD181" s="35"/>
      <c r="AE181" s="35"/>
      <c r="AG181" s="35"/>
      <c r="AH181" s="35"/>
      <c r="AI181" s="35"/>
      <c r="AJ181" s="35"/>
      <c r="AL181" s="35"/>
      <c r="AM181" s="35"/>
      <c r="AN181" s="35"/>
      <c r="AO181" s="35"/>
      <c r="AQ181" s="35"/>
      <c r="AR181" s="35"/>
      <c r="AS181" s="35"/>
      <c r="AT181" s="35"/>
      <c r="AV181" s="35"/>
      <c r="AW181" s="35"/>
      <c r="AX181" s="35"/>
      <c r="AY181" s="35"/>
      <c r="BA181" s="35"/>
      <c r="BB181" s="35"/>
      <c r="BC181" s="35"/>
      <c r="BD181" s="35"/>
      <c r="CA181" s="427"/>
      <c r="CB181" s="428"/>
      <c r="CC181" s="431">
        <f>CC180</f>
        <v>0</v>
      </c>
      <c r="CD181" s="429">
        <f>CD180</f>
        <v>0</v>
      </c>
      <c r="CE181" s="457" t="s">
        <v>22</v>
      </c>
      <c r="CF181" s="458"/>
      <c r="CG181" s="427"/>
      <c r="CH181" s="428"/>
      <c r="CI181" s="431">
        <f>CI180</f>
        <v>0</v>
      </c>
      <c r="CJ181" s="429">
        <f>CJ180</f>
        <v>0</v>
      </c>
      <c r="CK181" s="457" t="s">
        <v>22</v>
      </c>
      <c r="CL181" s="458"/>
      <c r="CM181" s="427"/>
      <c r="CN181" s="428"/>
      <c r="CO181" s="431">
        <f>CO180</f>
        <v>0</v>
      </c>
      <c r="CP181" s="429">
        <f>CP180</f>
        <v>0</v>
      </c>
      <c r="CQ181" s="457" t="s">
        <v>22</v>
      </c>
      <c r="CR181" s="458"/>
      <c r="CS181" s="427"/>
      <c r="CT181" s="428"/>
      <c r="CU181" s="431">
        <f>CU180</f>
        <v>0</v>
      </c>
      <c r="CV181" s="429">
        <f>CV180</f>
        <v>0</v>
      </c>
      <c r="CW181" s="457" t="s">
        <v>22</v>
      </c>
      <c r="CX181" s="458"/>
      <c r="CY181" s="427"/>
      <c r="CZ181" s="428"/>
      <c r="DA181" s="431"/>
      <c r="DB181" s="429"/>
      <c r="DC181" s="457"/>
      <c r="DD181" s="458"/>
    </row>
    <row r="182" spans="1:108" ht="12.75" customHeight="1" x14ac:dyDescent="0.2">
      <c r="C182" s="16" t="s">
        <v>244</v>
      </c>
      <c r="D182" s="427"/>
      <c r="E182" s="428"/>
      <c r="F182" s="431">
        <f>F47</f>
        <v>11.28</v>
      </c>
      <c r="G182" s="429">
        <f>G47</f>
        <v>11.28</v>
      </c>
      <c r="H182" s="459" t="s">
        <v>46</v>
      </c>
      <c r="I182" s="460"/>
      <c r="J182" s="6">
        <f>J$47</f>
        <v>9582.0022214912224</v>
      </c>
      <c r="K182" s="9">
        <f t="shared" ref="K182:O182" si="259">K$47</f>
        <v>1260.0000000000002</v>
      </c>
      <c r="L182" s="27">
        <f t="shared" si="259"/>
        <v>3338.4402767434012</v>
      </c>
      <c r="M182" s="12">
        <f t="shared" si="259"/>
        <v>48184.15650425943</v>
      </c>
      <c r="N182" s="9">
        <f t="shared" si="259"/>
        <v>315.13866198380111</v>
      </c>
      <c r="O182" s="27">
        <f t="shared" si="259"/>
        <v>344.67921833907297</v>
      </c>
      <c r="AA182" s="35"/>
      <c r="AB182" s="35"/>
      <c r="AC182" s="35"/>
      <c r="AD182" s="35"/>
      <c r="AE182" s="35"/>
      <c r="AG182" s="35"/>
      <c r="AH182" s="35"/>
      <c r="AI182" s="35"/>
      <c r="AJ182" s="35"/>
      <c r="AL182" s="35"/>
      <c r="AM182" s="35"/>
      <c r="AN182" s="35"/>
      <c r="AO182" s="35"/>
      <c r="AQ182" s="35"/>
      <c r="AR182" s="35"/>
      <c r="AS182" s="35"/>
      <c r="AT182" s="35"/>
      <c r="AV182" s="35"/>
      <c r="AW182" s="35"/>
      <c r="AX182" s="35"/>
      <c r="AY182" s="35"/>
      <c r="BA182" s="35"/>
      <c r="BB182" s="35"/>
      <c r="BC182" s="35"/>
      <c r="BD182" s="35"/>
      <c r="CA182" s="427"/>
      <c r="CB182" s="428"/>
      <c r="CC182" s="431">
        <f>CC47</f>
        <v>11.28</v>
      </c>
      <c r="CD182" s="429">
        <f>CD47</f>
        <v>11.28</v>
      </c>
      <c r="CE182" s="459" t="s">
        <v>46</v>
      </c>
      <c r="CF182" s="460"/>
      <c r="CG182" s="427"/>
      <c r="CH182" s="428"/>
      <c r="CI182" s="431">
        <f>CI47</f>
        <v>11.28</v>
      </c>
      <c r="CJ182" s="429">
        <f>CJ47</f>
        <v>11.28</v>
      </c>
      <c r="CK182" s="459" t="s">
        <v>46</v>
      </c>
      <c r="CL182" s="460"/>
      <c r="CM182" s="427"/>
      <c r="CN182" s="428"/>
      <c r="CO182" s="431">
        <f>CO47</f>
        <v>11.28</v>
      </c>
      <c r="CP182" s="429">
        <f>CP47</f>
        <v>11.28</v>
      </c>
      <c r="CQ182" s="459" t="s">
        <v>46</v>
      </c>
      <c r="CR182" s="460"/>
      <c r="CS182" s="427"/>
      <c r="CT182" s="428"/>
      <c r="CU182" s="431">
        <f>CU47</f>
        <v>11.28</v>
      </c>
      <c r="CV182" s="429">
        <f>CV47</f>
        <v>11.28</v>
      </c>
      <c r="CW182" s="459" t="s">
        <v>46</v>
      </c>
      <c r="CX182" s="460"/>
      <c r="CY182" s="427"/>
      <c r="CZ182" s="428"/>
      <c r="DA182" s="431"/>
      <c r="DB182" s="429"/>
      <c r="DC182" s="459"/>
      <c r="DD182" s="460"/>
    </row>
    <row r="183" spans="1:108" ht="3.95" customHeight="1" x14ac:dyDescent="0.2">
      <c r="C183" s="16"/>
      <c r="D183" s="427"/>
      <c r="E183" s="428"/>
      <c r="F183" s="431"/>
      <c r="G183" s="429"/>
      <c r="H183" s="457"/>
      <c r="I183" s="458"/>
      <c r="J183" s="5"/>
      <c r="K183" s="9"/>
      <c r="L183" s="27"/>
      <c r="M183" s="12"/>
      <c r="N183" s="9"/>
      <c r="O183" s="27"/>
      <c r="AA183" s="35"/>
      <c r="AB183" s="35"/>
      <c r="AC183" s="35"/>
      <c r="AD183" s="35"/>
      <c r="AE183" s="35"/>
      <c r="AG183" s="35"/>
      <c r="AH183" s="35"/>
      <c r="AI183" s="35"/>
      <c r="AJ183" s="35"/>
      <c r="AL183" s="35"/>
      <c r="AM183" s="35"/>
      <c r="AN183" s="35"/>
      <c r="AO183" s="35"/>
      <c r="AQ183" s="35"/>
      <c r="AR183" s="35"/>
      <c r="AS183" s="35"/>
      <c r="AT183" s="35"/>
      <c r="AV183" s="35"/>
      <c r="AW183" s="35"/>
      <c r="AX183" s="35"/>
      <c r="AY183" s="35"/>
      <c r="BA183" s="35"/>
      <c r="BB183" s="35"/>
      <c r="BC183" s="35"/>
      <c r="BD183" s="35"/>
      <c r="CA183" s="427"/>
      <c r="CB183" s="428"/>
      <c r="CC183" s="431"/>
      <c r="CD183" s="429"/>
      <c r="CE183" s="457"/>
      <c r="CF183" s="458"/>
      <c r="CG183" s="427"/>
      <c r="CH183" s="428"/>
      <c r="CI183" s="431"/>
      <c r="CJ183" s="429"/>
      <c r="CK183" s="457"/>
      <c r="CL183" s="458"/>
      <c r="CM183" s="427"/>
      <c r="CN183" s="428"/>
      <c r="CO183" s="431"/>
      <c r="CP183" s="429"/>
      <c r="CQ183" s="457"/>
      <c r="CR183" s="458"/>
      <c r="CS183" s="427"/>
      <c r="CT183" s="428"/>
      <c r="CU183" s="431"/>
      <c r="CV183" s="429"/>
      <c r="CW183" s="457"/>
      <c r="CX183" s="458"/>
      <c r="CY183" s="427"/>
      <c r="CZ183" s="428"/>
      <c r="DA183" s="431"/>
      <c r="DB183" s="429"/>
      <c r="DC183" s="457"/>
      <c r="DD183" s="458"/>
    </row>
    <row r="184" spans="1:108" ht="12.75" customHeight="1" x14ac:dyDescent="0.2">
      <c r="A184" s="1"/>
      <c r="C184" s="216" t="s">
        <v>286</v>
      </c>
      <c r="D184" s="468"/>
      <c r="E184" s="469"/>
      <c r="F184" s="470">
        <f>F181</f>
        <v>150</v>
      </c>
      <c r="G184" s="471"/>
      <c r="H184" s="472" t="s">
        <v>22</v>
      </c>
      <c r="I184" s="473"/>
      <c r="J184" s="66">
        <f t="shared" ref="J184:O184" si="260">SUM(J180:J182)</f>
        <v>94528.830426200628</v>
      </c>
      <c r="K184" s="390">
        <f t="shared" si="260"/>
        <v>18485.621013530508</v>
      </c>
      <c r="L184" s="391">
        <f t="shared" si="260"/>
        <v>50270.508115826051</v>
      </c>
      <c r="M184" s="392">
        <f t="shared" si="260"/>
        <v>629414.35159235157</v>
      </c>
      <c r="N184" s="390">
        <f t="shared" si="260"/>
        <v>13852.26190009337</v>
      </c>
      <c r="O184" s="391">
        <f t="shared" si="260"/>
        <v>9205.6613511883988</v>
      </c>
      <c r="AB184" s="35"/>
      <c r="AC184" s="35"/>
      <c r="AD184" s="35"/>
      <c r="AE184" s="35"/>
      <c r="AG184" s="35"/>
      <c r="AH184" s="35"/>
      <c r="AI184" s="35"/>
      <c r="AJ184" s="35"/>
      <c r="AL184" s="35"/>
      <c r="AM184" s="35"/>
      <c r="AN184" s="35"/>
      <c r="AO184" s="35"/>
      <c r="AQ184" s="35"/>
      <c r="AR184" s="35"/>
      <c r="AS184" s="35"/>
      <c r="AT184" s="35"/>
      <c r="AV184" s="35"/>
      <c r="AW184" s="35"/>
      <c r="AX184" s="35"/>
      <c r="AY184" s="35"/>
      <c r="BA184" s="35"/>
      <c r="BB184" s="35"/>
      <c r="BC184" s="35"/>
      <c r="BD184" s="35"/>
      <c r="CA184" s="468"/>
      <c r="CB184" s="469"/>
      <c r="CC184" s="470">
        <f>CC181</f>
        <v>0</v>
      </c>
      <c r="CD184" s="471"/>
      <c r="CE184" s="472" t="s">
        <v>22</v>
      </c>
      <c r="CF184" s="473"/>
      <c r="CG184" s="468"/>
      <c r="CH184" s="469"/>
      <c r="CI184" s="470">
        <f>CI181</f>
        <v>0</v>
      </c>
      <c r="CJ184" s="471"/>
      <c r="CK184" s="472" t="s">
        <v>22</v>
      </c>
      <c r="CL184" s="473"/>
      <c r="CM184" s="468"/>
      <c r="CN184" s="469"/>
      <c r="CO184" s="470">
        <f>CO181</f>
        <v>0</v>
      </c>
      <c r="CP184" s="471"/>
      <c r="CQ184" s="472" t="s">
        <v>22</v>
      </c>
      <c r="CR184" s="473"/>
      <c r="CS184" s="468"/>
      <c r="CT184" s="469"/>
      <c r="CU184" s="470">
        <f>CU181</f>
        <v>0</v>
      </c>
      <c r="CV184" s="471"/>
      <c r="CW184" s="472" t="s">
        <v>22</v>
      </c>
      <c r="CX184" s="473"/>
      <c r="CY184" s="468"/>
      <c r="CZ184" s="469"/>
      <c r="DA184" s="470"/>
      <c r="DB184" s="471"/>
      <c r="DC184" s="472"/>
      <c r="DD184" s="473"/>
    </row>
    <row r="185" spans="1:108" ht="12.75" customHeight="1" x14ac:dyDescent="0.2">
      <c r="C185" s="147" t="str">
        <f>CONCATENATE("Idem referentie ",$F$10)</f>
        <v>Idem referentie (2) appartementen</v>
      </c>
      <c r="D185" s="474"/>
      <c r="E185" s="475"/>
      <c r="F185" s="476"/>
      <c r="G185" s="435">
        <f>G181</f>
        <v>150</v>
      </c>
      <c r="H185" s="436" t="s">
        <v>22</v>
      </c>
      <c r="I185" s="477"/>
      <c r="J185" s="153">
        <f>J50</f>
        <v>155392.42446261062</v>
      </c>
      <c r="K185" s="138">
        <f t="shared" ref="K185:O185" si="261">K50</f>
        <v>31764.26641883895</v>
      </c>
      <c r="L185" s="139">
        <f t="shared" si="261"/>
        <v>98814.521748645493</v>
      </c>
      <c r="M185" s="140">
        <f t="shared" si="261"/>
        <v>1096708.6614134558</v>
      </c>
      <c r="N185" s="138">
        <f t="shared" si="261"/>
        <v>28177.722637075942</v>
      </c>
      <c r="O185" s="139">
        <f t="shared" si="261"/>
        <v>18232.564917803487</v>
      </c>
      <c r="AB185" s="35"/>
      <c r="AC185" s="35"/>
      <c r="AD185" s="35"/>
      <c r="AE185" s="35"/>
      <c r="AG185" s="35"/>
      <c r="AH185" s="35"/>
      <c r="AI185" s="35"/>
      <c r="AJ185" s="35"/>
      <c r="AL185" s="35"/>
      <c r="AM185" s="35"/>
      <c r="AN185" s="35"/>
      <c r="AO185" s="35"/>
      <c r="AQ185" s="35"/>
      <c r="AR185" s="35"/>
      <c r="AS185" s="35"/>
      <c r="AT185" s="35"/>
      <c r="AV185" s="35"/>
      <c r="AW185" s="35"/>
      <c r="AX185" s="35"/>
      <c r="AY185" s="35"/>
      <c r="BA185" s="35"/>
      <c r="BB185" s="35"/>
      <c r="BC185" s="35"/>
      <c r="BD185" s="35"/>
      <c r="CA185" s="474"/>
      <c r="CB185" s="475"/>
      <c r="CC185" s="476"/>
      <c r="CD185" s="435">
        <f>CD181</f>
        <v>0</v>
      </c>
      <c r="CE185" s="436" t="s">
        <v>22</v>
      </c>
      <c r="CF185" s="477"/>
      <c r="CG185" s="474"/>
      <c r="CH185" s="475"/>
      <c r="CI185" s="476"/>
      <c r="CJ185" s="435">
        <f>CJ181</f>
        <v>0</v>
      </c>
      <c r="CK185" s="436" t="s">
        <v>22</v>
      </c>
      <c r="CL185" s="477"/>
      <c r="CM185" s="474"/>
      <c r="CN185" s="475"/>
      <c r="CO185" s="476"/>
      <c r="CP185" s="435">
        <f>CP181</f>
        <v>0</v>
      </c>
      <c r="CQ185" s="436" t="s">
        <v>22</v>
      </c>
      <c r="CR185" s="477"/>
      <c r="CS185" s="474"/>
      <c r="CT185" s="475"/>
      <c r="CU185" s="476"/>
      <c r="CV185" s="435">
        <f>CV181</f>
        <v>0</v>
      </c>
      <c r="CW185" s="436" t="s">
        <v>22</v>
      </c>
      <c r="CX185" s="477"/>
      <c r="CY185" s="474"/>
      <c r="CZ185" s="475"/>
      <c r="DA185" s="476"/>
      <c r="DB185" s="435"/>
      <c r="DC185" s="436"/>
      <c r="DD185" s="477"/>
    </row>
    <row r="186" spans="1:108" x14ac:dyDescent="0.2">
      <c r="B186" s="2"/>
      <c r="C186" s="2"/>
      <c r="D186" s="438"/>
      <c r="E186" s="438"/>
      <c r="F186" s="438"/>
      <c r="G186" s="438"/>
      <c r="H186" s="438"/>
      <c r="I186" s="438"/>
      <c r="J186" s="2"/>
      <c r="K186" s="2"/>
      <c r="L186" s="2"/>
      <c r="M186" s="2"/>
      <c r="N186" s="2"/>
      <c r="O186" s="2"/>
      <c r="AB186" s="35"/>
      <c r="AC186" s="35"/>
      <c r="AD186" s="35"/>
      <c r="AE186" s="35"/>
      <c r="AG186" s="35"/>
      <c r="AH186" s="35"/>
      <c r="AI186" s="35"/>
      <c r="AJ186" s="35"/>
      <c r="AL186" s="35"/>
      <c r="AM186" s="35"/>
      <c r="AN186" s="35"/>
      <c r="AO186" s="35"/>
      <c r="AQ186" s="35"/>
      <c r="AR186" s="35"/>
      <c r="AS186" s="35"/>
      <c r="AT186" s="35"/>
      <c r="AV186" s="35"/>
      <c r="AW186" s="35"/>
      <c r="AX186" s="35"/>
      <c r="AY186" s="35"/>
      <c r="BA186" s="35"/>
      <c r="BB186" s="35"/>
      <c r="BC186" s="35"/>
      <c r="BD186" s="35"/>
      <c r="CA186" s="438"/>
      <c r="CB186" s="438"/>
      <c r="CC186" s="438"/>
      <c r="CD186" s="438"/>
      <c r="CE186" s="438"/>
      <c r="CF186" s="438"/>
      <c r="CG186" s="438"/>
      <c r="CH186" s="438"/>
      <c r="CI186" s="438"/>
      <c r="CJ186" s="438"/>
      <c r="CK186" s="438"/>
      <c r="CL186" s="438"/>
      <c r="CM186" s="438"/>
      <c r="CN186" s="438"/>
      <c r="CO186" s="438"/>
      <c r="CP186" s="438"/>
      <c r="CQ186" s="438"/>
      <c r="CR186" s="438"/>
      <c r="CS186" s="438"/>
      <c r="CT186" s="438"/>
      <c r="CU186" s="438"/>
      <c r="CV186" s="438"/>
      <c r="CW186" s="438"/>
      <c r="CX186" s="438"/>
      <c r="CY186" s="438"/>
      <c r="CZ186" s="438"/>
      <c r="DA186" s="438"/>
      <c r="DB186" s="438"/>
      <c r="DC186" s="438"/>
      <c r="DD186" s="438"/>
    </row>
    <row r="187" spans="1:108" ht="15.75" x14ac:dyDescent="0.25">
      <c r="C187" s="106" t="s">
        <v>327</v>
      </c>
      <c r="D187" s="438"/>
      <c r="E187" s="438"/>
      <c r="F187" s="439"/>
      <c r="G187" s="439"/>
      <c r="H187" s="440"/>
      <c r="I187" s="437"/>
      <c r="CA187" s="438"/>
      <c r="CB187" s="438"/>
      <c r="CC187" s="439"/>
      <c r="CD187" s="439"/>
      <c r="CE187" s="440"/>
      <c r="CF187" s="437"/>
      <c r="CG187" s="438"/>
      <c r="CH187" s="438"/>
      <c r="CI187" s="439"/>
      <c r="CJ187" s="439"/>
      <c r="CK187" s="440"/>
      <c r="CL187" s="437"/>
      <c r="CM187" s="438"/>
      <c r="CN187" s="438"/>
      <c r="CO187" s="439"/>
      <c r="CP187" s="439"/>
      <c r="CQ187" s="440"/>
      <c r="CR187" s="437"/>
      <c r="CS187" s="438"/>
      <c r="CT187" s="438"/>
      <c r="CU187" s="439"/>
      <c r="CV187" s="439"/>
      <c r="CW187" s="440"/>
      <c r="CX187" s="437"/>
      <c r="CY187" s="438"/>
      <c r="CZ187" s="438"/>
      <c r="DA187" s="439"/>
      <c r="DB187" s="439"/>
      <c r="DC187" s="440"/>
      <c r="DD187" s="437"/>
    </row>
    <row r="188" spans="1:108" ht="6" customHeight="1" x14ac:dyDescent="0.2">
      <c r="D188" s="438"/>
      <c r="E188" s="438"/>
      <c r="F188" s="439"/>
      <c r="G188" s="439"/>
      <c r="H188" s="440"/>
      <c r="I188" s="437"/>
      <c r="CA188" s="438"/>
      <c r="CB188" s="438"/>
      <c r="CC188" s="439"/>
      <c r="CD188" s="439"/>
      <c r="CE188" s="440"/>
      <c r="CF188" s="437"/>
      <c r="CG188" s="438"/>
      <c r="CH188" s="438"/>
      <c r="CI188" s="439"/>
      <c r="CJ188" s="439"/>
      <c r="CK188" s="440"/>
      <c r="CL188" s="437"/>
      <c r="CM188" s="438"/>
      <c r="CN188" s="438"/>
      <c r="CO188" s="439"/>
      <c r="CP188" s="439"/>
      <c r="CQ188" s="440"/>
      <c r="CR188" s="437"/>
      <c r="CS188" s="438"/>
      <c r="CT188" s="438"/>
      <c r="CU188" s="439"/>
      <c r="CV188" s="439"/>
      <c r="CW188" s="440"/>
      <c r="CX188" s="437"/>
      <c r="CY188" s="438"/>
      <c r="CZ188" s="438"/>
      <c r="DA188" s="439"/>
      <c r="DB188" s="439"/>
      <c r="DC188" s="440"/>
      <c r="DD188" s="437"/>
    </row>
    <row r="189" spans="1:108" x14ac:dyDescent="0.2">
      <c r="C189" s="4" t="s">
        <v>415</v>
      </c>
      <c r="D189" s="438"/>
      <c r="E189" s="438"/>
      <c r="F189" s="438"/>
      <c r="G189" s="439"/>
      <c r="H189" s="440"/>
      <c r="I189" s="437"/>
      <c r="CA189" s="438"/>
      <c r="CB189" s="438"/>
      <c r="CC189" s="438"/>
      <c r="CD189" s="439"/>
      <c r="CE189" s="440"/>
      <c r="CF189" s="437"/>
      <c r="CG189" s="438"/>
      <c r="CH189" s="438"/>
      <c r="CI189" s="438"/>
      <c r="CJ189" s="439"/>
      <c r="CK189" s="440"/>
      <c r="CL189" s="437"/>
      <c r="CM189" s="438"/>
      <c r="CN189" s="438"/>
      <c r="CO189" s="438"/>
      <c r="CP189" s="439"/>
      <c r="CQ189" s="440"/>
      <c r="CR189" s="437"/>
      <c r="CS189" s="438"/>
      <c r="CT189" s="438"/>
      <c r="CU189" s="438"/>
      <c r="CV189" s="439"/>
      <c r="CW189" s="440"/>
      <c r="CX189" s="437"/>
      <c r="CY189" s="438"/>
      <c r="CZ189" s="438"/>
      <c r="DA189" s="438"/>
      <c r="DB189" s="439"/>
      <c r="DC189" s="440"/>
      <c r="DD189" s="437"/>
    </row>
    <row r="190" spans="1:108" x14ac:dyDescent="0.2">
      <c r="C190" s="4" t="s">
        <v>289</v>
      </c>
      <c r="D190" s="438"/>
      <c r="E190" s="438"/>
      <c r="F190" s="438"/>
      <c r="G190" s="439"/>
      <c r="H190" s="440"/>
      <c r="I190" s="437"/>
      <c r="CA190" s="438"/>
      <c r="CB190" s="438"/>
      <c r="CC190" s="438"/>
      <c r="CD190" s="439"/>
      <c r="CE190" s="440"/>
      <c r="CF190" s="437"/>
      <c r="CG190" s="438"/>
      <c r="CH190" s="438"/>
      <c r="CI190" s="438"/>
      <c r="CJ190" s="439"/>
      <c r="CK190" s="440"/>
      <c r="CL190" s="437"/>
      <c r="CM190" s="438"/>
      <c r="CN190" s="438"/>
      <c r="CO190" s="438"/>
      <c r="CP190" s="439"/>
      <c r="CQ190" s="440"/>
      <c r="CR190" s="437"/>
      <c r="CS190" s="438"/>
      <c r="CT190" s="438"/>
      <c r="CU190" s="438"/>
      <c r="CV190" s="439"/>
      <c r="CW190" s="440"/>
      <c r="CX190" s="437"/>
      <c r="CY190" s="438"/>
      <c r="CZ190" s="438"/>
      <c r="DA190" s="438"/>
      <c r="DB190" s="439"/>
      <c r="DC190" s="440"/>
      <c r="DD190" s="437"/>
    </row>
    <row r="191" spans="1:108" x14ac:dyDescent="0.2">
      <c r="C191" s="4" t="s">
        <v>290</v>
      </c>
      <c r="D191" s="438"/>
      <c r="E191" s="438"/>
      <c r="F191" s="438"/>
      <c r="G191" s="439"/>
      <c r="H191" s="440"/>
      <c r="I191" s="437"/>
      <c r="CA191" s="438"/>
      <c r="CB191" s="438"/>
      <c r="CC191" s="438"/>
      <c r="CD191" s="439"/>
      <c r="CE191" s="440"/>
      <c r="CF191" s="437"/>
      <c r="CG191" s="438"/>
      <c r="CH191" s="438"/>
      <c r="CI191" s="438"/>
      <c r="CJ191" s="439"/>
      <c r="CK191" s="440"/>
      <c r="CL191" s="437"/>
      <c r="CM191" s="438"/>
      <c r="CN191" s="438"/>
      <c r="CO191" s="438"/>
      <c r="CP191" s="439"/>
      <c r="CQ191" s="440"/>
      <c r="CR191" s="437"/>
      <c r="CS191" s="438"/>
      <c r="CT191" s="438"/>
      <c r="CU191" s="438"/>
      <c r="CV191" s="439"/>
      <c r="CW191" s="440"/>
      <c r="CX191" s="437"/>
      <c r="CY191" s="438"/>
      <c r="CZ191" s="438"/>
      <c r="DA191" s="438"/>
      <c r="DB191" s="439"/>
      <c r="DC191" s="440"/>
      <c r="DD191" s="437"/>
    </row>
    <row r="192" spans="1:108" ht="25.5" customHeight="1" x14ac:dyDescent="0.2">
      <c r="C192" s="522" t="str">
        <f>IF($J$130="niet leverbaar", "PAS OP! NIET MOGELIJK",IF($J$132="niet leverbaar", "PAS OP! NIET MOGELIJK"," "))</f>
        <v>PAS OP! NIET MOGELIJK</v>
      </c>
      <c r="D192" s="438"/>
      <c r="E192" s="438"/>
      <c r="F192" s="438"/>
      <c r="G192" s="439"/>
      <c r="H192" s="440"/>
      <c r="I192" s="43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CA192" s="438"/>
      <c r="CB192" s="438"/>
      <c r="CC192" s="438"/>
      <c r="CD192" s="439"/>
      <c r="CE192" s="440"/>
      <c r="CF192" s="437"/>
      <c r="CG192" s="438"/>
      <c r="CH192" s="438"/>
      <c r="CI192" s="438"/>
      <c r="CJ192" s="439"/>
      <c r="CK192" s="440"/>
      <c r="CL192" s="437"/>
      <c r="CM192" s="438"/>
      <c r="CN192" s="438"/>
      <c r="CO192" s="438"/>
      <c r="CP192" s="439"/>
      <c r="CQ192" s="440"/>
      <c r="CR192" s="437"/>
      <c r="CS192" s="438"/>
      <c r="CT192" s="438"/>
      <c r="CU192" s="438"/>
      <c r="CV192" s="439"/>
      <c r="CW192" s="440"/>
      <c r="CX192" s="437"/>
      <c r="CY192" s="438"/>
      <c r="CZ192" s="438"/>
      <c r="DA192" s="438"/>
      <c r="DB192" s="439"/>
      <c r="DC192" s="440"/>
      <c r="DD192" s="437"/>
    </row>
    <row r="193" spans="1:108" x14ac:dyDescent="0.2">
      <c r="C193" s="164" t="s">
        <v>48</v>
      </c>
      <c r="D193" s="509" t="s">
        <v>47</v>
      </c>
      <c r="E193" s="510"/>
      <c r="F193" s="443"/>
      <c r="G193" s="444"/>
      <c r="H193" s="445"/>
      <c r="I193" s="478"/>
      <c r="J193" s="393" t="s">
        <v>49</v>
      </c>
      <c r="K193" s="383" t="s">
        <v>37</v>
      </c>
      <c r="L193" s="384" t="s">
        <v>27</v>
      </c>
      <c r="M193" s="385" t="s">
        <v>28</v>
      </c>
      <c r="N193" s="383" t="s">
        <v>35</v>
      </c>
      <c r="O193" s="384" t="s">
        <v>36</v>
      </c>
      <c r="T193" s="227"/>
      <c r="U193" s="227"/>
      <c r="V193" s="227"/>
      <c r="W193" s="227"/>
      <c r="X193" s="227"/>
      <c r="Y193" s="227"/>
      <c r="Z193" s="227"/>
      <c r="AA193" s="227"/>
      <c r="AB193" s="228"/>
      <c r="AC193" s="229"/>
      <c r="AD193" s="229"/>
      <c r="AE193" s="229"/>
      <c r="AF193" s="227"/>
      <c r="AG193" s="228"/>
      <c r="AH193" s="229"/>
      <c r="AI193" s="229"/>
      <c r="AJ193" s="229"/>
      <c r="AK193" s="227"/>
      <c r="AL193" s="228"/>
      <c r="AM193" s="229"/>
      <c r="AN193" s="229"/>
      <c r="AO193" s="229"/>
      <c r="AP193" s="227"/>
      <c r="AQ193" s="228"/>
      <c r="AR193" s="229"/>
      <c r="AS193" s="229"/>
      <c r="AT193" s="229"/>
      <c r="AU193" s="227"/>
      <c r="AV193" s="228"/>
      <c r="AW193" s="229"/>
      <c r="AX193" s="229"/>
      <c r="AY193" s="229"/>
      <c r="AZ193" s="227"/>
      <c r="BA193" s="228"/>
      <c r="BB193" s="229"/>
      <c r="BC193" s="229"/>
      <c r="BD193" s="229"/>
      <c r="BE193" s="227"/>
      <c r="BF193" s="230"/>
      <c r="BG193" s="230"/>
      <c r="BH193" s="227"/>
      <c r="BI193" s="230"/>
      <c r="BJ193" s="231"/>
      <c r="BK193" s="227"/>
      <c r="BL193" s="232"/>
      <c r="BM193" s="231"/>
      <c r="BN193" s="231"/>
      <c r="BO193" s="231"/>
      <c r="BP193" s="231"/>
      <c r="BQ193" s="227"/>
      <c r="BR193" s="232"/>
      <c r="BS193" s="231"/>
      <c r="BT193" s="231"/>
      <c r="BU193" s="231"/>
      <c r="CA193" s="509" t="s">
        <v>47</v>
      </c>
      <c r="CB193" s="510"/>
      <c r="CC193" s="443"/>
      <c r="CD193" s="444"/>
      <c r="CE193" s="445"/>
      <c r="CF193" s="478"/>
      <c r="CG193" s="509" t="s">
        <v>47</v>
      </c>
      <c r="CH193" s="510"/>
      <c r="CI193" s="443"/>
      <c r="CJ193" s="444"/>
      <c r="CK193" s="445"/>
      <c r="CL193" s="478"/>
      <c r="CM193" s="509" t="s">
        <v>47</v>
      </c>
      <c r="CN193" s="510"/>
      <c r="CO193" s="443"/>
      <c r="CP193" s="444"/>
      <c r="CQ193" s="445"/>
      <c r="CR193" s="478"/>
      <c r="CS193" s="509" t="s">
        <v>47</v>
      </c>
      <c r="CT193" s="510"/>
      <c r="CU193" s="443"/>
      <c r="CV193" s="444"/>
      <c r="CW193" s="445"/>
      <c r="CX193" s="478"/>
      <c r="CY193" s="509"/>
      <c r="CZ193" s="510"/>
      <c r="DA193" s="443"/>
      <c r="DB193" s="444"/>
      <c r="DC193" s="445"/>
      <c r="DD193" s="478"/>
    </row>
    <row r="194" spans="1:108" x14ac:dyDescent="0.2">
      <c r="C194" s="89" t="str">
        <f>$F$11</f>
        <v>2012-07-01 Voorbeeld 1</v>
      </c>
      <c r="D194" s="511" t="s">
        <v>148</v>
      </c>
      <c r="E194" s="512"/>
      <c r="F194" s="513" t="s">
        <v>332</v>
      </c>
      <c r="G194" s="449"/>
      <c r="H194" s="450"/>
      <c r="I194" s="446"/>
      <c r="J194" s="394" t="str">
        <f>J23</f>
        <v>€ per 1-1-2012</v>
      </c>
      <c r="K194" s="387" t="str">
        <f>J194</f>
        <v>€ per 1-1-2012</v>
      </c>
      <c r="L194" s="388" t="s">
        <v>32</v>
      </c>
      <c r="M194" s="389" t="s">
        <v>33</v>
      </c>
      <c r="N194" s="387" t="s">
        <v>34</v>
      </c>
      <c r="O194" s="388" t="str">
        <f>J194</f>
        <v>€ per 1-1-2012</v>
      </c>
      <c r="T194" s="227"/>
      <c r="U194" s="227"/>
      <c r="V194" s="227"/>
      <c r="W194" s="227"/>
      <c r="X194" s="227"/>
      <c r="Y194" s="227"/>
      <c r="Z194" s="227"/>
      <c r="AA194" s="227"/>
      <c r="AB194" s="34"/>
      <c r="AC194" s="34"/>
      <c r="AD194" s="34"/>
      <c r="AE194" s="34"/>
      <c r="AF194" s="227"/>
      <c r="AG194" s="34"/>
      <c r="AH194" s="34"/>
      <c r="AI194" s="34"/>
      <c r="AJ194" s="34"/>
      <c r="AK194" s="227"/>
      <c r="AL194" s="34"/>
      <c r="AM194" s="34"/>
      <c r="AN194" s="34"/>
      <c r="AO194" s="34"/>
      <c r="AP194" s="227"/>
      <c r="AQ194" s="34"/>
      <c r="AR194" s="34"/>
      <c r="AS194" s="34"/>
      <c r="AT194" s="34"/>
      <c r="AU194" s="227"/>
      <c r="AV194" s="34"/>
      <c r="AW194" s="34"/>
      <c r="AX194" s="34"/>
      <c r="AY194" s="34"/>
      <c r="AZ194" s="227"/>
      <c r="BA194" s="34"/>
      <c r="BB194" s="34"/>
      <c r="BC194" s="34"/>
      <c r="BD194" s="34"/>
      <c r="BE194" s="227"/>
      <c r="BF194" s="227"/>
      <c r="BG194" s="227"/>
      <c r="BH194" s="227"/>
      <c r="BI194" s="227"/>
      <c r="BJ194" s="233"/>
      <c r="BK194" s="227"/>
      <c r="BL194" s="233"/>
      <c r="BM194" s="233"/>
      <c r="BN194" s="233"/>
      <c r="BO194" s="233"/>
      <c r="BP194" s="233"/>
      <c r="BQ194" s="227"/>
      <c r="BR194" s="233"/>
      <c r="BS194" s="233"/>
      <c r="BT194" s="233"/>
      <c r="BU194" s="233"/>
      <c r="CA194" s="511" t="s">
        <v>148</v>
      </c>
      <c r="CB194" s="512"/>
      <c r="CC194" s="513" t="s">
        <v>332</v>
      </c>
      <c r="CD194" s="449"/>
      <c r="CE194" s="450"/>
      <c r="CF194" s="446"/>
      <c r="CG194" s="511" t="s">
        <v>148</v>
      </c>
      <c r="CH194" s="512"/>
      <c r="CI194" s="513" t="s">
        <v>332</v>
      </c>
      <c r="CJ194" s="449"/>
      <c r="CK194" s="450"/>
      <c r="CL194" s="446"/>
      <c r="CM194" s="511" t="s">
        <v>148</v>
      </c>
      <c r="CN194" s="512"/>
      <c r="CO194" s="513" t="s">
        <v>332</v>
      </c>
      <c r="CP194" s="449"/>
      <c r="CQ194" s="450"/>
      <c r="CR194" s="446"/>
      <c r="CS194" s="511" t="s">
        <v>148</v>
      </c>
      <c r="CT194" s="512"/>
      <c r="CU194" s="513" t="s">
        <v>332</v>
      </c>
      <c r="CV194" s="449"/>
      <c r="CW194" s="450"/>
      <c r="CX194" s="446"/>
      <c r="CY194" s="511"/>
      <c r="CZ194" s="512"/>
      <c r="DA194" s="513"/>
      <c r="DB194" s="449"/>
      <c r="DC194" s="450"/>
      <c r="DD194" s="446"/>
    </row>
    <row r="195" spans="1:108" x14ac:dyDescent="0.2">
      <c r="C195" s="14" t="s">
        <v>234</v>
      </c>
      <c r="D195" s="502"/>
      <c r="E195" s="459"/>
      <c r="F195" s="459"/>
      <c r="G195" s="459"/>
      <c r="H195" s="459"/>
      <c r="I195" s="460"/>
      <c r="J195" s="155"/>
      <c r="K195" s="8"/>
      <c r="L195" s="26"/>
      <c r="M195" s="11"/>
      <c r="N195" s="8"/>
      <c r="O195" s="26"/>
      <c r="T195" s="227"/>
      <c r="U195" s="227"/>
      <c r="V195" s="227"/>
      <c r="W195" s="227"/>
      <c r="X195" s="227"/>
      <c r="Y195" s="227"/>
      <c r="Z195" s="227"/>
      <c r="AA195" s="227"/>
      <c r="AB195" s="34"/>
      <c r="AC195" s="34"/>
      <c r="AD195" s="34"/>
      <c r="AE195" s="34"/>
      <c r="AF195" s="227"/>
      <c r="AG195" s="34"/>
      <c r="AH195" s="34"/>
      <c r="AI195" s="34"/>
      <c r="AJ195" s="34"/>
      <c r="AK195" s="227"/>
      <c r="AL195" s="34"/>
      <c r="AM195" s="34"/>
      <c r="AN195" s="34"/>
      <c r="AO195" s="34"/>
      <c r="AP195" s="227"/>
      <c r="AQ195" s="34"/>
      <c r="AR195" s="34"/>
      <c r="AS195" s="34"/>
      <c r="AT195" s="34"/>
      <c r="AU195" s="227"/>
      <c r="AV195" s="34"/>
      <c r="AW195" s="34"/>
      <c r="AX195" s="34"/>
      <c r="AY195" s="34"/>
      <c r="AZ195" s="227"/>
      <c r="BA195" s="34"/>
      <c r="BB195" s="34"/>
      <c r="BC195" s="34"/>
      <c r="BD195" s="34"/>
      <c r="BE195" s="227"/>
      <c r="BF195" s="227"/>
      <c r="BG195" s="227"/>
      <c r="BH195" s="227"/>
      <c r="BI195" s="227"/>
      <c r="BJ195" s="233"/>
      <c r="BK195" s="227"/>
      <c r="BL195" s="233"/>
      <c r="BM195" s="233"/>
      <c r="BN195" s="233"/>
      <c r="BO195" s="233"/>
      <c r="BP195" s="233"/>
      <c r="BQ195" s="227"/>
      <c r="BR195" s="233"/>
      <c r="BS195" s="233"/>
      <c r="BT195" s="233"/>
      <c r="BU195" s="233"/>
      <c r="CA195" s="502"/>
      <c r="CB195" s="459"/>
      <c r="CC195" s="459"/>
      <c r="CD195" s="459"/>
      <c r="CE195" s="459"/>
      <c r="CF195" s="460"/>
      <c r="CG195" s="502"/>
      <c r="CH195" s="459"/>
      <c r="CI195" s="459"/>
      <c r="CJ195" s="459"/>
      <c r="CK195" s="459"/>
      <c r="CL195" s="460"/>
      <c r="CM195" s="502"/>
      <c r="CN195" s="459"/>
      <c r="CO195" s="459"/>
      <c r="CP195" s="459"/>
      <c r="CQ195" s="459"/>
      <c r="CR195" s="460"/>
      <c r="CS195" s="502"/>
      <c r="CT195" s="459"/>
      <c r="CU195" s="459"/>
      <c r="CV195" s="459"/>
      <c r="CW195" s="459"/>
      <c r="CX195" s="460"/>
      <c r="CY195" s="502"/>
      <c r="CZ195" s="459"/>
      <c r="DA195" s="459"/>
      <c r="DB195" s="459"/>
      <c r="DC195" s="459"/>
      <c r="DD195" s="460"/>
    </row>
    <row r="196" spans="1:108" x14ac:dyDescent="0.2">
      <c r="A196" s="1" t="s">
        <v>163</v>
      </c>
      <c r="C196" s="211" t="s">
        <v>51</v>
      </c>
      <c r="D196" s="506"/>
      <c r="E196" s="493"/>
      <c r="F196" s="493"/>
      <c r="G196" s="493"/>
      <c r="H196" s="493"/>
      <c r="I196" s="508"/>
      <c r="J196" s="156"/>
      <c r="K196" s="9"/>
      <c r="L196" s="27"/>
      <c r="M196" s="12"/>
      <c r="N196" s="9"/>
      <c r="O196" s="27"/>
      <c r="P196" s="84"/>
      <c r="T196" s="227"/>
      <c r="U196" s="227"/>
      <c r="V196" s="227"/>
      <c r="W196" s="227"/>
      <c r="X196" s="227"/>
      <c r="Y196" s="227"/>
      <c r="Z196" s="227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227"/>
      <c r="BG196" s="227"/>
      <c r="BH196" s="35"/>
      <c r="BI196" s="35"/>
      <c r="BJ196" s="56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CA196" s="506"/>
      <c r="CB196" s="493"/>
      <c r="CC196" s="493"/>
      <c r="CD196" s="493"/>
      <c r="CE196" s="493"/>
      <c r="CF196" s="508"/>
      <c r="CG196" s="506"/>
      <c r="CH196" s="493"/>
      <c r="CI196" s="493"/>
      <c r="CJ196" s="493"/>
      <c r="CK196" s="493"/>
      <c r="CL196" s="508"/>
      <c r="CM196" s="506"/>
      <c r="CN196" s="493"/>
      <c r="CO196" s="493"/>
      <c r="CP196" s="493"/>
      <c r="CQ196" s="493"/>
      <c r="CR196" s="508"/>
      <c r="CS196" s="506"/>
      <c r="CT196" s="493"/>
      <c r="CU196" s="493"/>
      <c r="CV196" s="493"/>
      <c r="CW196" s="493"/>
      <c r="CX196" s="508"/>
      <c r="CY196" s="506"/>
      <c r="CZ196" s="493"/>
      <c r="DA196" s="493"/>
      <c r="DB196" s="493"/>
      <c r="DC196" s="493"/>
      <c r="DD196" s="508"/>
    </row>
    <row r="197" spans="1:108" ht="15" x14ac:dyDescent="0.25">
      <c r="A197" s="49"/>
      <c r="B197" s="33">
        <v>11</v>
      </c>
      <c r="C197" s="212" t="s">
        <v>291</v>
      </c>
      <c r="D197" s="527" t="s">
        <v>334</v>
      </c>
      <c r="E197" s="528"/>
      <c r="F197" s="528"/>
      <c r="G197" s="528"/>
      <c r="H197" s="528"/>
      <c r="I197" s="529"/>
      <c r="J197" s="220">
        <f t="shared" ref="J197:O200" si="262">J117</f>
        <v>1067.5288002157124</v>
      </c>
      <c r="K197" s="9">
        <f t="shared" si="262"/>
        <v>219.80032710326267</v>
      </c>
      <c r="L197" s="27">
        <f t="shared" si="262"/>
        <v>829.51249766372143</v>
      </c>
      <c r="M197" s="12">
        <f t="shared" si="262"/>
        <v>5695.5263200553272</v>
      </c>
      <c r="N197" s="9">
        <f t="shared" si="262"/>
        <v>479.98127102815556</v>
      </c>
      <c r="O197" s="27">
        <f t="shared" si="262"/>
        <v>65.622721962416819</v>
      </c>
      <c r="T197" s="227"/>
      <c r="U197" s="227"/>
      <c r="V197" s="227"/>
      <c r="W197" s="227"/>
      <c r="X197" s="227"/>
      <c r="Y197" s="227"/>
      <c r="Z197" s="227"/>
      <c r="AA197" s="35"/>
      <c r="AB197" s="35"/>
      <c r="AC197" s="35"/>
      <c r="AD197" s="35"/>
      <c r="AE197" s="35"/>
      <c r="AF197" s="227"/>
      <c r="AG197" s="35"/>
      <c r="AH197" s="35"/>
      <c r="AI197" s="35"/>
      <c r="AJ197" s="35"/>
      <c r="AK197" s="227"/>
      <c r="AL197" s="35"/>
      <c r="AM197" s="35"/>
      <c r="AN197" s="35"/>
      <c r="AO197" s="35"/>
      <c r="AP197" s="227"/>
      <c r="AQ197" s="35"/>
      <c r="AR197" s="35"/>
      <c r="AS197" s="35"/>
      <c r="AT197" s="35"/>
      <c r="AU197" s="227"/>
      <c r="AV197" s="35"/>
      <c r="AW197" s="35"/>
      <c r="AX197" s="35"/>
      <c r="AY197" s="35"/>
      <c r="AZ197" s="227"/>
      <c r="BA197" s="35"/>
      <c r="BB197" s="35"/>
      <c r="BC197" s="35"/>
      <c r="BD197" s="35"/>
      <c r="BE197" s="227"/>
      <c r="BF197" s="227"/>
      <c r="BG197" s="227"/>
      <c r="BH197" s="35"/>
      <c r="BI197" s="35"/>
      <c r="BJ197" s="56"/>
      <c r="BK197" s="47"/>
      <c r="BL197" s="234"/>
      <c r="BM197" s="234"/>
      <c r="BN197" s="234"/>
      <c r="BO197" s="234"/>
      <c r="BP197" s="234"/>
      <c r="BQ197" s="227"/>
      <c r="BR197" s="227"/>
      <c r="BS197" s="227"/>
      <c r="BT197" s="227"/>
      <c r="BU197" s="227"/>
      <c r="CA197" s="527" t="s">
        <v>334</v>
      </c>
      <c r="CB197" s="528"/>
      <c r="CC197" s="528"/>
      <c r="CD197" s="528"/>
      <c r="CE197" s="528"/>
      <c r="CF197" s="529"/>
      <c r="CG197" s="527" t="s">
        <v>334</v>
      </c>
      <c r="CH197" s="528"/>
      <c r="CI197" s="528"/>
      <c r="CJ197" s="528"/>
      <c r="CK197" s="528"/>
      <c r="CL197" s="529"/>
      <c r="CM197" s="527" t="s">
        <v>334</v>
      </c>
      <c r="CN197" s="528"/>
      <c r="CO197" s="528"/>
      <c r="CP197" s="528"/>
      <c r="CQ197" s="528"/>
      <c r="CR197" s="529"/>
      <c r="CS197" s="527" t="s">
        <v>334</v>
      </c>
      <c r="CT197" s="528"/>
      <c r="CU197" s="528"/>
      <c r="CV197" s="528"/>
      <c r="CW197" s="528"/>
      <c r="CX197" s="529"/>
      <c r="CY197" s="527"/>
      <c r="CZ197" s="528"/>
      <c r="DA197" s="528"/>
      <c r="DB197" s="528"/>
      <c r="DC197" s="528"/>
      <c r="DD197" s="529"/>
    </row>
    <row r="198" spans="1:108" ht="15" x14ac:dyDescent="0.25">
      <c r="A198" s="49"/>
      <c r="B198" s="33">
        <v>13</v>
      </c>
      <c r="C198" s="212" t="s">
        <v>292</v>
      </c>
      <c r="D198" s="527" t="s">
        <v>374</v>
      </c>
      <c r="E198" s="528"/>
      <c r="F198" s="528"/>
      <c r="G198" s="528"/>
      <c r="H198" s="528"/>
      <c r="I198" s="529"/>
      <c r="J198" s="220">
        <f t="shared" si="262"/>
        <v>0</v>
      </c>
      <c r="K198" s="9">
        <f t="shared" si="262"/>
        <v>0</v>
      </c>
      <c r="L198" s="27">
        <f t="shared" si="262"/>
        <v>0</v>
      </c>
      <c r="M198" s="12">
        <f t="shared" si="262"/>
        <v>0</v>
      </c>
      <c r="N198" s="9">
        <f t="shared" si="262"/>
        <v>0</v>
      </c>
      <c r="O198" s="27">
        <f t="shared" si="262"/>
        <v>0</v>
      </c>
      <c r="T198" s="227"/>
      <c r="U198" s="227"/>
      <c r="V198" s="227"/>
      <c r="W198" s="227"/>
      <c r="X198" s="227"/>
      <c r="Y198" s="227"/>
      <c r="Z198" s="227"/>
      <c r="AA198" s="35"/>
      <c r="AB198" s="35"/>
      <c r="AC198" s="35"/>
      <c r="AD198" s="35"/>
      <c r="AE198" s="35"/>
      <c r="AF198" s="227"/>
      <c r="AG198" s="35"/>
      <c r="AH198" s="35"/>
      <c r="AI198" s="35"/>
      <c r="AJ198" s="35"/>
      <c r="AK198" s="227"/>
      <c r="AL198" s="35"/>
      <c r="AM198" s="35"/>
      <c r="AN198" s="35"/>
      <c r="AO198" s="35"/>
      <c r="AP198" s="227"/>
      <c r="AQ198" s="35"/>
      <c r="AR198" s="35"/>
      <c r="AS198" s="35"/>
      <c r="AT198" s="35"/>
      <c r="AU198" s="227"/>
      <c r="AV198" s="35"/>
      <c r="AW198" s="35"/>
      <c r="AX198" s="35"/>
      <c r="AY198" s="35"/>
      <c r="AZ198" s="227"/>
      <c r="BA198" s="35"/>
      <c r="BB198" s="35"/>
      <c r="BC198" s="35"/>
      <c r="BD198" s="35"/>
      <c r="BE198" s="227"/>
      <c r="BF198" s="227"/>
      <c r="BG198" s="227"/>
      <c r="BH198" s="35"/>
      <c r="BI198" s="35"/>
      <c r="BJ198" s="56"/>
      <c r="BK198" s="47"/>
      <c r="BL198" s="234"/>
      <c r="BM198" s="234"/>
      <c r="BN198" s="234"/>
      <c r="BO198" s="234"/>
      <c r="BP198" s="234"/>
      <c r="BQ198" s="227"/>
      <c r="BR198" s="227"/>
      <c r="BS198" s="227"/>
      <c r="BT198" s="227"/>
      <c r="BU198" s="227"/>
      <c r="CA198" s="527" t="s">
        <v>374</v>
      </c>
      <c r="CB198" s="528"/>
      <c r="CC198" s="528"/>
      <c r="CD198" s="528"/>
      <c r="CE198" s="528"/>
      <c r="CF198" s="529"/>
      <c r="CG198" s="527" t="s">
        <v>494</v>
      </c>
      <c r="CH198" s="528"/>
      <c r="CI198" s="528"/>
      <c r="CJ198" s="528"/>
      <c r="CK198" s="528"/>
      <c r="CL198" s="529"/>
      <c r="CM198" s="527" t="s">
        <v>494</v>
      </c>
      <c r="CN198" s="528"/>
      <c r="CO198" s="528"/>
      <c r="CP198" s="528"/>
      <c r="CQ198" s="528"/>
      <c r="CR198" s="529"/>
      <c r="CS198" s="527" t="s">
        <v>494</v>
      </c>
      <c r="CT198" s="528"/>
      <c r="CU198" s="528"/>
      <c r="CV198" s="528"/>
      <c r="CW198" s="528"/>
      <c r="CX198" s="529"/>
      <c r="CY198" s="527"/>
      <c r="CZ198" s="528"/>
      <c r="DA198" s="528"/>
      <c r="DB198" s="528"/>
      <c r="DC198" s="528"/>
      <c r="DD198" s="529"/>
    </row>
    <row r="199" spans="1:108" ht="15" x14ac:dyDescent="0.25">
      <c r="A199" s="49"/>
      <c r="B199" s="33">
        <v>16</v>
      </c>
      <c r="C199" s="212" t="s">
        <v>293</v>
      </c>
      <c r="D199" s="527" t="s">
        <v>375</v>
      </c>
      <c r="E199" s="528"/>
      <c r="F199" s="528"/>
      <c r="G199" s="528"/>
      <c r="H199" s="528"/>
      <c r="I199" s="529"/>
      <c r="J199" s="220">
        <f t="shared" si="262"/>
        <v>0</v>
      </c>
      <c r="K199" s="9">
        <f t="shared" si="262"/>
        <v>0</v>
      </c>
      <c r="L199" s="27">
        <f t="shared" si="262"/>
        <v>0</v>
      </c>
      <c r="M199" s="12">
        <f t="shared" si="262"/>
        <v>0</v>
      </c>
      <c r="N199" s="9">
        <f t="shared" si="262"/>
        <v>0</v>
      </c>
      <c r="O199" s="27">
        <f t="shared" si="262"/>
        <v>0</v>
      </c>
      <c r="T199" s="227"/>
      <c r="U199" s="227"/>
      <c r="V199" s="227"/>
      <c r="W199" s="227"/>
      <c r="X199" s="227"/>
      <c r="Y199" s="227"/>
      <c r="Z199" s="227"/>
      <c r="AA199" s="35"/>
      <c r="AB199" s="35"/>
      <c r="AC199" s="35"/>
      <c r="AD199" s="35"/>
      <c r="AE199" s="35"/>
      <c r="AF199" s="227"/>
      <c r="AG199" s="35"/>
      <c r="AH199" s="35"/>
      <c r="AI199" s="35"/>
      <c r="AJ199" s="35"/>
      <c r="AK199" s="227"/>
      <c r="AL199" s="35"/>
      <c r="AM199" s="35"/>
      <c r="AN199" s="35"/>
      <c r="AO199" s="35"/>
      <c r="AP199" s="227"/>
      <c r="AQ199" s="35"/>
      <c r="AR199" s="35"/>
      <c r="AS199" s="35"/>
      <c r="AT199" s="35"/>
      <c r="AU199" s="227"/>
      <c r="AV199" s="35"/>
      <c r="AW199" s="35"/>
      <c r="AX199" s="35"/>
      <c r="AY199" s="35"/>
      <c r="AZ199" s="227"/>
      <c r="BA199" s="35"/>
      <c r="BB199" s="35"/>
      <c r="BC199" s="35"/>
      <c r="BD199" s="35"/>
      <c r="BE199" s="227"/>
      <c r="BF199" s="227"/>
      <c r="BG199" s="227"/>
      <c r="BH199" s="35"/>
      <c r="BI199" s="35"/>
      <c r="BJ199" s="56"/>
      <c r="BK199" s="47"/>
      <c r="BL199" s="234"/>
      <c r="BM199" s="234"/>
      <c r="BN199" s="234"/>
      <c r="BO199" s="234"/>
      <c r="BP199" s="234"/>
      <c r="BQ199" s="227"/>
      <c r="BR199" s="227"/>
      <c r="BS199" s="227"/>
      <c r="BT199" s="227"/>
      <c r="BU199" s="227"/>
      <c r="CA199" s="527" t="s">
        <v>375</v>
      </c>
      <c r="CB199" s="528"/>
      <c r="CC199" s="528"/>
      <c r="CD199" s="528"/>
      <c r="CE199" s="528"/>
      <c r="CF199" s="529"/>
      <c r="CG199" s="527" t="s">
        <v>495</v>
      </c>
      <c r="CH199" s="528"/>
      <c r="CI199" s="528"/>
      <c r="CJ199" s="528"/>
      <c r="CK199" s="528"/>
      <c r="CL199" s="529"/>
      <c r="CM199" s="527" t="s">
        <v>375</v>
      </c>
      <c r="CN199" s="528"/>
      <c r="CO199" s="528"/>
      <c r="CP199" s="528"/>
      <c r="CQ199" s="528"/>
      <c r="CR199" s="529"/>
      <c r="CS199" s="527" t="s">
        <v>375</v>
      </c>
      <c r="CT199" s="528"/>
      <c r="CU199" s="528"/>
      <c r="CV199" s="528"/>
      <c r="CW199" s="528"/>
      <c r="CX199" s="529"/>
      <c r="CY199" s="527"/>
      <c r="CZ199" s="528"/>
      <c r="DA199" s="528"/>
      <c r="DB199" s="528"/>
      <c r="DC199" s="528"/>
      <c r="DD199" s="529"/>
    </row>
    <row r="200" spans="1:108" ht="15" x14ac:dyDescent="0.25">
      <c r="A200" s="49"/>
      <c r="B200" s="33">
        <v>17</v>
      </c>
      <c r="C200" s="212" t="s">
        <v>294</v>
      </c>
      <c r="D200" s="527" t="s">
        <v>376</v>
      </c>
      <c r="E200" s="528"/>
      <c r="F200" s="528"/>
      <c r="G200" s="528"/>
      <c r="H200" s="528"/>
      <c r="I200" s="529"/>
      <c r="J200" s="220">
        <f t="shared" si="262"/>
        <v>3224.4182538948958</v>
      </c>
      <c r="K200" s="9">
        <f t="shared" si="262"/>
        <v>885.76918488855972</v>
      </c>
      <c r="L200" s="27">
        <f t="shared" si="262"/>
        <v>3706.0653828912514</v>
      </c>
      <c r="M200" s="12">
        <f t="shared" si="262"/>
        <v>27315.666116555036</v>
      </c>
      <c r="N200" s="9">
        <f t="shared" si="262"/>
        <v>500.81964320942552</v>
      </c>
      <c r="O200" s="27">
        <f t="shared" si="262"/>
        <v>1081.372634401918</v>
      </c>
      <c r="T200" s="227"/>
      <c r="U200" s="227"/>
      <c r="V200" s="227"/>
      <c r="W200" s="227"/>
      <c r="X200" s="227"/>
      <c r="Y200" s="227"/>
      <c r="Z200" s="227"/>
      <c r="AA200" s="35"/>
      <c r="AB200" s="35"/>
      <c r="AC200" s="35"/>
      <c r="AD200" s="35"/>
      <c r="AE200" s="35"/>
      <c r="AF200" s="227"/>
      <c r="AG200" s="35"/>
      <c r="AH200" s="35"/>
      <c r="AI200" s="35"/>
      <c r="AJ200" s="35"/>
      <c r="AK200" s="227"/>
      <c r="AL200" s="35"/>
      <c r="AM200" s="35"/>
      <c r="AN200" s="35"/>
      <c r="AO200" s="35"/>
      <c r="AP200" s="227"/>
      <c r="AQ200" s="35"/>
      <c r="AR200" s="35"/>
      <c r="AS200" s="35"/>
      <c r="AT200" s="35"/>
      <c r="AU200" s="227"/>
      <c r="AV200" s="35"/>
      <c r="AW200" s="35"/>
      <c r="AX200" s="35"/>
      <c r="AY200" s="35"/>
      <c r="AZ200" s="227"/>
      <c r="BA200" s="35"/>
      <c r="BB200" s="35"/>
      <c r="BC200" s="35"/>
      <c r="BD200" s="35"/>
      <c r="BE200" s="227"/>
      <c r="BF200" s="227"/>
      <c r="BG200" s="227"/>
      <c r="BH200" s="35"/>
      <c r="BI200" s="35"/>
      <c r="BJ200" s="56"/>
      <c r="BK200" s="47"/>
      <c r="BL200" s="234"/>
      <c r="BM200" s="234"/>
      <c r="BN200" s="234"/>
      <c r="BO200" s="234"/>
      <c r="BP200" s="234"/>
      <c r="BQ200" s="227"/>
      <c r="BR200" s="227"/>
      <c r="BS200" s="227"/>
      <c r="BT200" s="227"/>
      <c r="BU200" s="227"/>
      <c r="CA200" s="527" t="s">
        <v>376</v>
      </c>
      <c r="CB200" s="528"/>
      <c r="CC200" s="528"/>
      <c r="CD200" s="528"/>
      <c r="CE200" s="528"/>
      <c r="CF200" s="529"/>
      <c r="CG200" s="527" t="s">
        <v>376</v>
      </c>
      <c r="CH200" s="528"/>
      <c r="CI200" s="528"/>
      <c r="CJ200" s="528"/>
      <c r="CK200" s="528"/>
      <c r="CL200" s="529"/>
      <c r="CM200" s="527" t="s">
        <v>513</v>
      </c>
      <c r="CN200" s="528"/>
      <c r="CO200" s="528"/>
      <c r="CP200" s="528"/>
      <c r="CQ200" s="528"/>
      <c r="CR200" s="529"/>
      <c r="CS200" s="527" t="s">
        <v>513</v>
      </c>
      <c r="CT200" s="528"/>
      <c r="CU200" s="528"/>
      <c r="CV200" s="528"/>
      <c r="CW200" s="528"/>
      <c r="CX200" s="529"/>
      <c r="CY200" s="527"/>
      <c r="CZ200" s="528"/>
      <c r="DA200" s="528"/>
      <c r="DB200" s="528"/>
      <c r="DC200" s="528"/>
      <c r="DD200" s="529"/>
    </row>
    <row r="201" spans="1:108" x14ac:dyDescent="0.2">
      <c r="A201" s="1" t="s">
        <v>164</v>
      </c>
      <c r="C201" s="211" t="s">
        <v>52</v>
      </c>
      <c r="D201" s="506"/>
      <c r="E201" s="493"/>
      <c r="F201" s="493"/>
      <c r="G201" s="493"/>
      <c r="H201" s="493"/>
      <c r="I201" s="508"/>
      <c r="J201" s="220"/>
      <c r="K201" s="9"/>
      <c r="L201" s="27"/>
      <c r="M201" s="12"/>
      <c r="N201" s="9"/>
      <c r="O201" s="27"/>
      <c r="P201" s="84"/>
      <c r="T201" s="227"/>
      <c r="U201" s="227"/>
      <c r="V201" s="227"/>
      <c r="W201" s="227"/>
      <c r="X201" s="227"/>
      <c r="Y201" s="227"/>
      <c r="Z201" s="227"/>
      <c r="AA201" s="35"/>
      <c r="AB201" s="35"/>
      <c r="AC201" s="35"/>
      <c r="AD201" s="35"/>
      <c r="AE201" s="35"/>
      <c r="AF201" s="227"/>
      <c r="AG201" s="35"/>
      <c r="AH201" s="35"/>
      <c r="AI201" s="35"/>
      <c r="AJ201" s="35"/>
      <c r="AK201" s="227"/>
      <c r="AL201" s="35"/>
      <c r="AM201" s="35"/>
      <c r="AN201" s="35"/>
      <c r="AO201" s="35"/>
      <c r="AP201" s="227"/>
      <c r="AQ201" s="35"/>
      <c r="AR201" s="35"/>
      <c r="AS201" s="35"/>
      <c r="AT201" s="35"/>
      <c r="AU201" s="227"/>
      <c r="AV201" s="35"/>
      <c r="AW201" s="35"/>
      <c r="AX201" s="35"/>
      <c r="AY201" s="35"/>
      <c r="AZ201" s="227"/>
      <c r="BA201" s="35"/>
      <c r="BB201" s="35"/>
      <c r="BC201" s="35"/>
      <c r="BD201" s="35"/>
      <c r="BE201" s="227"/>
      <c r="BF201" s="227"/>
      <c r="BG201" s="227"/>
      <c r="BH201" s="35"/>
      <c r="BI201" s="35"/>
      <c r="BJ201" s="56"/>
      <c r="BK201" s="47"/>
      <c r="BL201" s="234"/>
      <c r="BM201" s="234"/>
      <c r="BN201" s="234"/>
      <c r="BO201" s="234"/>
      <c r="BP201" s="234"/>
      <c r="BQ201" s="227"/>
      <c r="BR201" s="227"/>
      <c r="BS201" s="227"/>
      <c r="BT201" s="227"/>
      <c r="BU201" s="227"/>
      <c r="CA201" s="506"/>
      <c r="CB201" s="493"/>
      <c r="CC201" s="493"/>
      <c r="CD201" s="493"/>
      <c r="CE201" s="493"/>
      <c r="CF201" s="508"/>
      <c r="CG201" s="506"/>
      <c r="CH201" s="493"/>
      <c r="CI201" s="493"/>
      <c r="CJ201" s="493"/>
      <c r="CK201" s="493"/>
      <c r="CL201" s="508"/>
      <c r="CM201" s="506"/>
      <c r="CN201" s="493"/>
      <c r="CO201" s="493"/>
      <c r="CP201" s="493"/>
      <c r="CQ201" s="493"/>
      <c r="CR201" s="508"/>
      <c r="CS201" s="506"/>
      <c r="CT201" s="493"/>
      <c r="CU201" s="493"/>
      <c r="CV201" s="493"/>
      <c r="CW201" s="493"/>
      <c r="CX201" s="508"/>
      <c r="CY201" s="506"/>
      <c r="CZ201" s="493"/>
      <c r="DA201" s="493"/>
      <c r="DB201" s="493"/>
      <c r="DC201" s="493"/>
      <c r="DD201" s="508"/>
    </row>
    <row r="202" spans="1:108" ht="15" x14ac:dyDescent="0.25">
      <c r="A202" s="49"/>
      <c r="B202" s="33">
        <v>21</v>
      </c>
      <c r="C202" s="212" t="s">
        <v>295</v>
      </c>
      <c r="D202" s="527" t="s">
        <v>377</v>
      </c>
      <c r="E202" s="528"/>
      <c r="F202" s="528"/>
      <c r="G202" s="528"/>
      <c r="H202" s="528"/>
      <c r="I202" s="529"/>
      <c r="J202" s="220">
        <f t="shared" ref="J202:O206" si="263">J122</f>
        <v>0</v>
      </c>
      <c r="K202" s="9">
        <f t="shared" si="263"/>
        <v>0</v>
      </c>
      <c r="L202" s="27">
        <f t="shared" si="263"/>
        <v>0</v>
      </c>
      <c r="M202" s="12">
        <f t="shared" si="263"/>
        <v>0</v>
      </c>
      <c r="N202" s="9">
        <f t="shared" si="263"/>
        <v>0</v>
      </c>
      <c r="O202" s="27">
        <f t="shared" si="263"/>
        <v>0</v>
      </c>
      <c r="T202" s="227"/>
      <c r="U202" s="227"/>
      <c r="V202" s="227"/>
      <c r="W202" s="227"/>
      <c r="X202" s="227"/>
      <c r="Y202" s="227"/>
      <c r="Z202" s="227"/>
      <c r="AA202" s="35"/>
      <c r="AB202" s="35"/>
      <c r="AC202" s="35"/>
      <c r="AD202" s="35"/>
      <c r="AE202" s="35"/>
      <c r="AF202" s="227"/>
      <c r="AG202" s="35"/>
      <c r="AH202" s="35"/>
      <c r="AI202" s="35"/>
      <c r="AJ202" s="35"/>
      <c r="AK202" s="227"/>
      <c r="AL202" s="35"/>
      <c r="AM202" s="35"/>
      <c r="AN202" s="35"/>
      <c r="AO202" s="35"/>
      <c r="AP202" s="227"/>
      <c r="AQ202" s="35"/>
      <c r="AR202" s="35"/>
      <c r="AS202" s="35"/>
      <c r="AT202" s="35"/>
      <c r="AU202" s="227"/>
      <c r="AV202" s="35"/>
      <c r="AW202" s="35"/>
      <c r="AX202" s="35"/>
      <c r="AY202" s="35"/>
      <c r="AZ202" s="227"/>
      <c r="BA202" s="35"/>
      <c r="BB202" s="35"/>
      <c r="BC202" s="35"/>
      <c r="BD202" s="35"/>
      <c r="BE202" s="227"/>
      <c r="BF202" s="227"/>
      <c r="BG202" s="227"/>
      <c r="BH202" s="35"/>
      <c r="BI202" s="35"/>
      <c r="BJ202" s="56"/>
      <c r="BK202" s="47"/>
      <c r="BL202" s="234"/>
      <c r="BM202" s="234"/>
      <c r="BN202" s="234"/>
      <c r="BO202" s="234"/>
      <c r="BP202" s="234"/>
      <c r="BQ202" s="227"/>
      <c r="BR202" s="227"/>
      <c r="BS202" s="227"/>
      <c r="BT202" s="227"/>
      <c r="BU202" s="227"/>
      <c r="CA202" s="527" t="s">
        <v>377</v>
      </c>
      <c r="CB202" s="528"/>
      <c r="CC202" s="528"/>
      <c r="CD202" s="528"/>
      <c r="CE202" s="528"/>
      <c r="CF202" s="529"/>
      <c r="CG202" s="527" t="s">
        <v>496</v>
      </c>
      <c r="CH202" s="528"/>
      <c r="CI202" s="528"/>
      <c r="CJ202" s="528"/>
      <c r="CK202" s="528"/>
      <c r="CL202" s="529"/>
      <c r="CM202" s="527" t="s">
        <v>496</v>
      </c>
      <c r="CN202" s="528"/>
      <c r="CO202" s="528"/>
      <c r="CP202" s="528"/>
      <c r="CQ202" s="528"/>
      <c r="CR202" s="529"/>
      <c r="CS202" s="527" t="s">
        <v>496</v>
      </c>
      <c r="CT202" s="528"/>
      <c r="CU202" s="528"/>
      <c r="CV202" s="528"/>
      <c r="CW202" s="528"/>
      <c r="CX202" s="529"/>
      <c r="CY202" s="527"/>
      <c r="CZ202" s="528"/>
      <c r="DA202" s="528"/>
      <c r="DB202" s="528"/>
      <c r="DC202" s="528"/>
      <c r="DD202" s="529"/>
    </row>
    <row r="203" spans="1:108" ht="15" x14ac:dyDescent="0.25">
      <c r="A203" s="49"/>
      <c r="B203" s="33">
        <v>22</v>
      </c>
      <c r="C203" s="212" t="s">
        <v>296</v>
      </c>
      <c r="D203" s="527" t="s">
        <v>378</v>
      </c>
      <c r="E203" s="528"/>
      <c r="F203" s="528"/>
      <c r="G203" s="528"/>
      <c r="H203" s="528"/>
      <c r="I203" s="529"/>
      <c r="J203" s="220">
        <f t="shared" si="263"/>
        <v>0</v>
      </c>
      <c r="K203" s="9">
        <f t="shared" si="263"/>
        <v>0</v>
      </c>
      <c r="L203" s="27">
        <f t="shared" si="263"/>
        <v>0</v>
      </c>
      <c r="M203" s="12">
        <f t="shared" si="263"/>
        <v>0</v>
      </c>
      <c r="N203" s="9">
        <f t="shared" si="263"/>
        <v>0</v>
      </c>
      <c r="O203" s="27">
        <f t="shared" si="263"/>
        <v>0</v>
      </c>
      <c r="T203" s="227"/>
      <c r="U203" s="227"/>
      <c r="V203" s="227"/>
      <c r="W203" s="227"/>
      <c r="X203" s="227"/>
      <c r="Y203" s="227"/>
      <c r="Z203" s="227"/>
      <c r="AA203" s="35"/>
      <c r="AB203" s="35"/>
      <c r="AC203" s="35"/>
      <c r="AD203" s="35"/>
      <c r="AE203" s="35"/>
      <c r="AF203" s="227"/>
      <c r="AG203" s="35"/>
      <c r="AH203" s="35"/>
      <c r="AI203" s="35"/>
      <c r="AJ203" s="35"/>
      <c r="AK203" s="227"/>
      <c r="AL203" s="35"/>
      <c r="AM203" s="35"/>
      <c r="AN203" s="35"/>
      <c r="AO203" s="35"/>
      <c r="AP203" s="227"/>
      <c r="AQ203" s="35"/>
      <c r="AR203" s="35"/>
      <c r="AS203" s="35"/>
      <c r="AT203" s="35"/>
      <c r="AU203" s="227"/>
      <c r="AV203" s="35"/>
      <c r="AW203" s="35"/>
      <c r="AX203" s="35"/>
      <c r="AY203" s="35"/>
      <c r="AZ203" s="227"/>
      <c r="BA203" s="35"/>
      <c r="BB203" s="35"/>
      <c r="BC203" s="35"/>
      <c r="BD203" s="35"/>
      <c r="BE203" s="227"/>
      <c r="BF203" s="227"/>
      <c r="BG203" s="227"/>
      <c r="BH203" s="35"/>
      <c r="BI203" s="35"/>
      <c r="BJ203" s="56"/>
      <c r="BK203" s="47"/>
      <c r="BL203" s="234"/>
      <c r="BM203" s="234"/>
      <c r="BN203" s="234"/>
      <c r="BO203" s="234"/>
      <c r="BP203" s="234"/>
      <c r="BQ203" s="227"/>
      <c r="BR203" s="227"/>
      <c r="BS203" s="227"/>
      <c r="BT203" s="227"/>
      <c r="BU203" s="227"/>
      <c r="CA203" s="527" t="s">
        <v>378</v>
      </c>
      <c r="CB203" s="528"/>
      <c r="CC203" s="528"/>
      <c r="CD203" s="528"/>
      <c r="CE203" s="528"/>
      <c r="CF203" s="529"/>
      <c r="CG203" s="527" t="s">
        <v>497</v>
      </c>
      <c r="CH203" s="528"/>
      <c r="CI203" s="528"/>
      <c r="CJ203" s="528"/>
      <c r="CK203" s="528"/>
      <c r="CL203" s="529"/>
      <c r="CM203" s="527" t="s">
        <v>497</v>
      </c>
      <c r="CN203" s="528"/>
      <c r="CO203" s="528"/>
      <c r="CP203" s="528"/>
      <c r="CQ203" s="528"/>
      <c r="CR203" s="529"/>
      <c r="CS203" s="527" t="s">
        <v>497</v>
      </c>
      <c r="CT203" s="528"/>
      <c r="CU203" s="528"/>
      <c r="CV203" s="528"/>
      <c r="CW203" s="528"/>
      <c r="CX203" s="529"/>
      <c r="CY203" s="527"/>
      <c r="CZ203" s="528"/>
      <c r="DA203" s="528"/>
      <c r="DB203" s="528"/>
      <c r="DC203" s="528"/>
      <c r="DD203" s="529"/>
    </row>
    <row r="204" spans="1:108" ht="15" x14ac:dyDescent="0.25">
      <c r="A204" s="49"/>
      <c r="B204" s="33">
        <v>23</v>
      </c>
      <c r="C204" s="212" t="s">
        <v>297</v>
      </c>
      <c r="D204" s="527" t="s">
        <v>379</v>
      </c>
      <c r="E204" s="528"/>
      <c r="F204" s="528"/>
      <c r="G204" s="528"/>
      <c r="H204" s="528"/>
      <c r="I204" s="529"/>
      <c r="J204" s="220">
        <f t="shared" si="263"/>
        <v>0</v>
      </c>
      <c r="K204" s="9">
        <f t="shared" si="263"/>
        <v>0</v>
      </c>
      <c r="L204" s="27">
        <f t="shared" si="263"/>
        <v>0</v>
      </c>
      <c r="M204" s="12">
        <f t="shared" si="263"/>
        <v>0</v>
      </c>
      <c r="N204" s="9">
        <f t="shared" si="263"/>
        <v>0</v>
      </c>
      <c r="O204" s="27">
        <f t="shared" si="263"/>
        <v>0</v>
      </c>
      <c r="T204" s="227"/>
      <c r="U204" s="227"/>
      <c r="V204" s="227"/>
      <c r="W204" s="227"/>
      <c r="X204" s="227"/>
      <c r="Y204" s="227"/>
      <c r="Z204" s="227"/>
      <c r="AA204" s="35"/>
      <c r="AB204" s="35"/>
      <c r="AC204" s="35"/>
      <c r="AD204" s="35"/>
      <c r="AE204" s="35"/>
      <c r="AF204" s="227"/>
      <c r="AG204" s="35"/>
      <c r="AH204" s="35"/>
      <c r="AI204" s="35"/>
      <c r="AJ204" s="35"/>
      <c r="AK204" s="227"/>
      <c r="AL204" s="35"/>
      <c r="AM204" s="35"/>
      <c r="AN204" s="35"/>
      <c r="AO204" s="35"/>
      <c r="AP204" s="227"/>
      <c r="AQ204" s="35"/>
      <c r="AR204" s="35"/>
      <c r="AS204" s="35"/>
      <c r="AT204" s="35"/>
      <c r="AU204" s="227"/>
      <c r="AV204" s="35"/>
      <c r="AW204" s="35"/>
      <c r="AX204" s="35"/>
      <c r="AY204" s="35"/>
      <c r="AZ204" s="227"/>
      <c r="BA204" s="35"/>
      <c r="BB204" s="35"/>
      <c r="BC204" s="35"/>
      <c r="BD204" s="35"/>
      <c r="BE204" s="227"/>
      <c r="BF204" s="227"/>
      <c r="BG204" s="227"/>
      <c r="BH204" s="35"/>
      <c r="BI204" s="35"/>
      <c r="BJ204" s="56"/>
      <c r="BK204" s="47"/>
      <c r="BL204" s="234"/>
      <c r="BM204" s="234"/>
      <c r="BN204" s="234"/>
      <c r="BO204" s="234"/>
      <c r="BP204" s="234"/>
      <c r="BQ204" s="227"/>
      <c r="BR204" s="227"/>
      <c r="BS204" s="227"/>
      <c r="BT204" s="227"/>
      <c r="BU204" s="227"/>
      <c r="CA204" s="527" t="s">
        <v>379</v>
      </c>
      <c r="CB204" s="528"/>
      <c r="CC204" s="528"/>
      <c r="CD204" s="528"/>
      <c r="CE204" s="528"/>
      <c r="CF204" s="529"/>
      <c r="CG204" s="527" t="s">
        <v>498</v>
      </c>
      <c r="CH204" s="528"/>
      <c r="CI204" s="528"/>
      <c r="CJ204" s="528"/>
      <c r="CK204" s="528"/>
      <c r="CL204" s="529"/>
      <c r="CM204" s="527" t="s">
        <v>514</v>
      </c>
      <c r="CN204" s="528"/>
      <c r="CO204" s="528"/>
      <c r="CP204" s="528"/>
      <c r="CQ204" s="528"/>
      <c r="CR204" s="529"/>
      <c r="CS204" s="527" t="s">
        <v>514</v>
      </c>
      <c r="CT204" s="528"/>
      <c r="CU204" s="528"/>
      <c r="CV204" s="528"/>
      <c r="CW204" s="528"/>
      <c r="CX204" s="529"/>
      <c r="CY204" s="527"/>
      <c r="CZ204" s="528"/>
      <c r="DA204" s="528"/>
      <c r="DB204" s="528"/>
      <c r="DC204" s="528"/>
      <c r="DD204" s="529"/>
    </row>
    <row r="205" spans="1:108" ht="15" x14ac:dyDescent="0.25">
      <c r="A205" s="49"/>
      <c r="B205" s="33">
        <v>27</v>
      </c>
      <c r="C205" s="212" t="s">
        <v>298</v>
      </c>
      <c r="D205" s="527" t="s">
        <v>380</v>
      </c>
      <c r="E205" s="528"/>
      <c r="F205" s="528"/>
      <c r="G205" s="528"/>
      <c r="H205" s="528"/>
      <c r="I205" s="529"/>
      <c r="J205" s="220">
        <f t="shared" si="263"/>
        <v>0</v>
      </c>
      <c r="K205" s="9">
        <f t="shared" si="263"/>
        <v>0</v>
      </c>
      <c r="L205" s="27">
        <f t="shared" si="263"/>
        <v>0</v>
      </c>
      <c r="M205" s="12">
        <f t="shared" si="263"/>
        <v>0</v>
      </c>
      <c r="N205" s="9">
        <f t="shared" si="263"/>
        <v>0</v>
      </c>
      <c r="O205" s="27">
        <f t="shared" si="263"/>
        <v>0</v>
      </c>
      <c r="T205" s="227"/>
      <c r="U205" s="227"/>
      <c r="V205" s="227"/>
      <c r="W205" s="227"/>
      <c r="X205" s="227"/>
      <c r="Y205" s="227"/>
      <c r="Z205" s="227"/>
      <c r="AA205" s="35"/>
      <c r="AB205" s="35"/>
      <c r="AC205" s="35"/>
      <c r="AD205" s="35"/>
      <c r="AE205" s="35"/>
      <c r="AF205" s="227"/>
      <c r="AG205" s="35"/>
      <c r="AH205" s="35"/>
      <c r="AI205" s="35"/>
      <c r="AJ205" s="35"/>
      <c r="AK205" s="227"/>
      <c r="AL205" s="35"/>
      <c r="AM205" s="35"/>
      <c r="AN205" s="35"/>
      <c r="AO205" s="35"/>
      <c r="AP205" s="227"/>
      <c r="AQ205" s="35"/>
      <c r="AR205" s="35"/>
      <c r="AS205" s="35"/>
      <c r="AT205" s="35"/>
      <c r="AU205" s="227"/>
      <c r="AV205" s="35"/>
      <c r="AW205" s="35"/>
      <c r="AX205" s="35"/>
      <c r="AY205" s="35"/>
      <c r="AZ205" s="227"/>
      <c r="BA205" s="35"/>
      <c r="BB205" s="35"/>
      <c r="BC205" s="35"/>
      <c r="BD205" s="35"/>
      <c r="BE205" s="227"/>
      <c r="BF205" s="227"/>
      <c r="BG205" s="227"/>
      <c r="BH205" s="35"/>
      <c r="BI205" s="35"/>
      <c r="BJ205" s="56"/>
      <c r="BK205" s="47"/>
      <c r="BL205" s="234"/>
      <c r="BM205" s="234"/>
      <c r="BN205" s="234"/>
      <c r="BO205" s="234"/>
      <c r="BP205" s="234"/>
      <c r="BQ205" s="227"/>
      <c r="BR205" s="227"/>
      <c r="BS205" s="227"/>
      <c r="BT205" s="227"/>
      <c r="BU205" s="227"/>
      <c r="CA205" s="527" t="s">
        <v>380</v>
      </c>
      <c r="CB205" s="528"/>
      <c r="CC205" s="528"/>
      <c r="CD205" s="528"/>
      <c r="CE205" s="528"/>
      <c r="CF205" s="529"/>
      <c r="CG205" s="527" t="s">
        <v>499</v>
      </c>
      <c r="CH205" s="528"/>
      <c r="CI205" s="528"/>
      <c r="CJ205" s="528"/>
      <c r="CK205" s="528"/>
      <c r="CL205" s="529"/>
      <c r="CM205" s="527" t="s">
        <v>499</v>
      </c>
      <c r="CN205" s="528"/>
      <c r="CO205" s="528"/>
      <c r="CP205" s="528"/>
      <c r="CQ205" s="528"/>
      <c r="CR205" s="529"/>
      <c r="CS205" s="527" t="s">
        <v>499</v>
      </c>
      <c r="CT205" s="528"/>
      <c r="CU205" s="528"/>
      <c r="CV205" s="528"/>
      <c r="CW205" s="528"/>
      <c r="CX205" s="529"/>
      <c r="CY205" s="527"/>
      <c r="CZ205" s="528"/>
      <c r="DA205" s="528"/>
      <c r="DB205" s="528"/>
      <c r="DC205" s="528"/>
      <c r="DD205" s="529"/>
    </row>
    <row r="206" spans="1:108" ht="15" x14ac:dyDescent="0.25">
      <c r="A206" s="49"/>
      <c r="B206" s="33">
        <v>28</v>
      </c>
      <c r="C206" s="212" t="s">
        <v>299</v>
      </c>
      <c r="D206" s="527" t="s">
        <v>381</v>
      </c>
      <c r="E206" s="528"/>
      <c r="F206" s="528"/>
      <c r="G206" s="528"/>
      <c r="H206" s="528"/>
      <c r="I206" s="529"/>
      <c r="J206" s="220">
        <f t="shared" si="263"/>
        <v>3312.5331016573055</v>
      </c>
      <c r="K206" s="9">
        <f t="shared" si="263"/>
        <v>791.37664017832776</v>
      </c>
      <c r="L206" s="27">
        <f t="shared" si="263"/>
        <v>2170.2253576897192</v>
      </c>
      <c r="M206" s="12">
        <f t="shared" si="263"/>
        <v>31238.737125693158</v>
      </c>
      <c r="N206" s="9">
        <f t="shared" si="263"/>
        <v>258.6293871499322</v>
      </c>
      <c r="O206" s="27">
        <f t="shared" si="263"/>
        <v>204.75993991663302</v>
      </c>
      <c r="T206" s="227"/>
      <c r="U206" s="227"/>
      <c r="V206" s="227"/>
      <c r="W206" s="227"/>
      <c r="X206" s="227"/>
      <c r="Y206" s="227"/>
      <c r="Z206" s="227"/>
      <c r="AA206" s="35"/>
      <c r="AB206" s="35"/>
      <c r="AC206" s="35"/>
      <c r="AD206" s="35"/>
      <c r="AE206" s="35"/>
      <c r="AF206" s="227"/>
      <c r="AG206" s="35"/>
      <c r="AH206" s="35"/>
      <c r="AI206" s="35"/>
      <c r="AJ206" s="35"/>
      <c r="AK206" s="227"/>
      <c r="AL206" s="35"/>
      <c r="AM206" s="35"/>
      <c r="AN206" s="35"/>
      <c r="AO206" s="35"/>
      <c r="AP206" s="227"/>
      <c r="AQ206" s="35"/>
      <c r="AR206" s="35"/>
      <c r="AS206" s="35"/>
      <c r="AT206" s="35"/>
      <c r="AU206" s="227"/>
      <c r="AV206" s="35"/>
      <c r="AW206" s="35"/>
      <c r="AX206" s="35"/>
      <c r="AY206" s="35"/>
      <c r="AZ206" s="227"/>
      <c r="BA206" s="35"/>
      <c r="BB206" s="35"/>
      <c r="BC206" s="35"/>
      <c r="BD206" s="35"/>
      <c r="BE206" s="227"/>
      <c r="BF206" s="227"/>
      <c r="BG206" s="227"/>
      <c r="BH206" s="35"/>
      <c r="BI206" s="35"/>
      <c r="BJ206" s="56"/>
      <c r="BK206" s="47"/>
      <c r="BL206" s="234"/>
      <c r="BM206" s="234"/>
      <c r="BN206" s="234"/>
      <c r="BO206" s="234"/>
      <c r="BP206" s="234"/>
      <c r="BQ206" s="227"/>
      <c r="BR206" s="227"/>
      <c r="BS206" s="227"/>
      <c r="BT206" s="227"/>
      <c r="BU206" s="227"/>
      <c r="CA206" s="527" t="s">
        <v>381</v>
      </c>
      <c r="CB206" s="528"/>
      <c r="CC206" s="528"/>
      <c r="CD206" s="528"/>
      <c r="CE206" s="528"/>
      <c r="CF206" s="529"/>
      <c r="CG206" s="527" t="s">
        <v>381</v>
      </c>
      <c r="CH206" s="528"/>
      <c r="CI206" s="528"/>
      <c r="CJ206" s="528"/>
      <c r="CK206" s="528"/>
      <c r="CL206" s="529"/>
      <c r="CM206" s="527" t="s">
        <v>515</v>
      </c>
      <c r="CN206" s="528"/>
      <c r="CO206" s="528"/>
      <c r="CP206" s="528"/>
      <c r="CQ206" s="528"/>
      <c r="CR206" s="529"/>
      <c r="CS206" s="527" t="s">
        <v>515</v>
      </c>
      <c r="CT206" s="528"/>
      <c r="CU206" s="528"/>
      <c r="CV206" s="528"/>
      <c r="CW206" s="528"/>
      <c r="CX206" s="529"/>
      <c r="CY206" s="527"/>
      <c r="CZ206" s="528"/>
      <c r="DA206" s="528"/>
      <c r="DB206" s="528"/>
      <c r="DC206" s="528"/>
      <c r="DD206" s="529"/>
    </row>
    <row r="207" spans="1:108" x14ac:dyDescent="0.2">
      <c r="A207" s="1" t="s">
        <v>165</v>
      </c>
      <c r="C207" s="211" t="s">
        <v>60</v>
      </c>
      <c r="D207" s="506"/>
      <c r="E207" s="493"/>
      <c r="F207" s="493"/>
      <c r="G207" s="493"/>
      <c r="H207" s="493"/>
      <c r="I207" s="508"/>
      <c r="J207" s="220"/>
      <c r="K207" s="9"/>
      <c r="L207" s="27"/>
      <c r="M207" s="12"/>
      <c r="N207" s="9"/>
      <c r="O207" s="27"/>
      <c r="P207" s="84"/>
      <c r="T207" s="227"/>
      <c r="U207" s="227"/>
      <c r="V207" s="227"/>
      <c r="W207" s="227"/>
      <c r="X207" s="227"/>
      <c r="Y207" s="227"/>
      <c r="Z207" s="227"/>
      <c r="AA207" s="35"/>
      <c r="AB207" s="35"/>
      <c r="AC207" s="35"/>
      <c r="AD207" s="35"/>
      <c r="AE207" s="35"/>
      <c r="AF207" s="227"/>
      <c r="AG207" s="35"/>
      <c r="AH207" s="35"/>
      <c r="AI207" s="35"/>
      <c r="AJ207" s="35"/>
      <c r="AK207" s="227"/>
      <c r="AL207" s="35"/>
      <c r="AM207" s="35"/>
      <c r="AN207" s="35"/>
      <c r="AO207" s="35"/>
      <c r="AP207" s="227"/>
      <c r="AQ207" s="35"/>
      <c r="AR207" s="35"/>
      <c r="AS207" s="35"/>
      <c r="AT207" s="35"/>
      <c r="AU207" s="227"/>
      <c r="AV207" s="35"/>
      <c r="AW207" s="35"/>
      <c r="AX207" s="35"/>
      <c r="AY207" s="35"/>
      <c r="AZ207" s="227"/>
      <c r="BA207" s="35"/>
      <c r="BB207" s="35"/>
      <c r="BC207" s="35"/>
      <c r="BD207" s="35"/>
      <c r="BE207" s="227"/>
      <c r="BF207" s="227"/>
      <c r="BG207" s="227"/>
      <c r="BH207" s="35"/>
      <c r="BI207" s="35"/>
      <c r="BJ207" s="56"/>
      <c r="BK207" s="47"/>
      <c r="BL207" s="234"/>
      <c r="BM207" s="234"/>
      <c r="BN207" s="234"/>
      <c r="BO207" s="234"/>
      <c r="BP207" s="234"/>
      <c r="BQ207" s="227"/>
      <c r="BR207" s="227"/>
      <c r="BS207" s="227"/>
      <c r="BT207" s="227"/>
      <c r="BU207" s="227"/>
      <c r="CA207" s="506"/>
      <c r="CB207" s="493"/>
      <c r="CC207" s="493"/>
      <c r="CD207" s="493"/>
      <c r="CE207" s="493"/>
      <c r="CF207" s="508"/>
      <c r="CG207" s="506"/>
      <c r="CH207" s="493"/>
      <c r="CI207" s="493"/>
      <c r="CJ207" s="493"/>
      <c r="CK207" s="493"/>
      <c r="CL207" s="508"/>
      <c r="CM207" s="506"/>
      <c r="CN207" s="493"/>
      <c r="CO207" s="493"/>
      <c r="CP207" s="493"/>
      <c r="CQ207" s="493"/>
      <c r="CR207" s="508"/>
      <c r="CS207" s="506"/>
      <c r="CT207" s="493"/>
      <c r="CU207" s="493"/>
      <c r="CV207" s="493"/>
      <c r="CW207" s="493"/>
      <c r="CX207" s="508"/>
      <c r="CY207" s="506"/>
      <c r="CZ207" s="493"/>
      <c r="DA207" s="493"/>
      <c r="DB207" s="493"/>
      <c r="DC207" s="493"/>
      <c r="DD207" s="508"/>
    </row>
    <row r="208" spans="1:108" ht="15" x14ac:dyDescent="0.25">
      <c r="A208" s="49"/>
      <c r="B208" s="33">
        <v>27</v>
      </c>
      <c r="C208" s="212" t="s">
        <v>300</v>
      </c>
      <c r="D208" s="527" t="s">
        <v>382</v>
      </c>
      <c r="E208" s="528"/>
      <c r="F208" s="528"/>
      <c r="G208" s="528"/>
      <c r="H208" s="528"/>
      <c r="I208" s="529"/>
      <c r="J208" s="220">
        <f t="shared" ref="J208:O210" si="264">J128</f>
        <v>0</v>
      </c>
      <c r="K208" s="9">
        <f t="shared" si="264"/>
        <v>0</v>
      </c>
      <c r="L208" s="27">
        <f t="shared" si="264"/>
        <v>0</v>
      </c>
      <c r="M208" s="12">
        <f t="shared" si="264"/>
        <v>0</v>
      </c>
      <c r="N208" s="9">
        <f t="shared" si="264"/>
        <v>0</v>
      </c>
      <c r="O208" s="27">
        <f t="shared" si="264"/>
        <v>0</v>
      </c>
      <c r="T208" s="227"/>
      <c r="U208" s="227"/>
      <c r="V208" s="227"/>
      <c r="W208" s="227"/>
      <c r="X208" s="227"/>
      <c r="Y208" s="227"/>
      <c r="Z208" s="227"/>
      <c r="AA208" s="35"/>
      <c r="AB208" s="35"/>
      <c r="AC208" s="35"/>
      <c r="AD208" s="35"/>
      <c r="AE208" s="35"/>
      <c r="AF208" s="227"/>
      <c r="AG208" s="35"/>
      <c r="AH208" s="35"/>
      <c r="AI208" s="35"/>
      <c r="AJ208" s="35"/>
      <c r="AK208" s="227"/>
      <c r="AL208" s="35"/>
      <c r="AM208" s="35"/>
      <c r="AN208" s="35"/>
      <c r="AO208" s="35"/>
      <c r="AP208" s="227"/>
      <c r="AQ208" s="35"/>
      <c r="AR208" s="35"/>
      <c r="AS208" s="35"/>
      <c r="AT208" s="35"/>
      <c r="AU208" s="227"/>
      <c r="AV208" s="35"/>
      <c r="AW208" s="35"/>
      <c r="AX208" s="35"/>
      <c r="AY208" s="35"/>
      <c r="AZ208" s="227"/>
      <c r="BA208" s="35"/>
      <c r="BB208" s="35"/>
      <c r="BC208" s="35"/>
      <c r="BD208" s="35"/>
      <c r="BE208" s="227"/>
      <c r="BF208" s="227"/>
      <c r="BG208" s="227"/>
      <c r="BH208" s="35"/>
      <c r="BI208" s="35"/>
      <c r="BJ208" s="56"/>
      <c r="BK208" s="47"/>
      <c r="BL208" s="234"/>
      <c r="BM208" s="234"/>
      <c r="BN208" s="234"/>
      <c r="BO208" s="234"/>
      <c r="BP208" s="234"/>
      <c r="BQ208" s="227"/>
      <c r="BR208" s="227"/>
      <c r="BS208" s="227"/>
      <c r="BT208" s="227"/>
      <c r="BU208" s="227"/>
      <c r="CA208" s="527" t="s">
        <v>382</v>
      </c>
      <c r="CB208" s="528"/>
      <c r="CC208" s="528"/>
      <c r="CD208" s="528"/>
      <c r="CE208" s="528"/>
      <c r="CF208" s="529"/>
      <c r="CG208" s="527" t="s">
        <v>500</v>
      </c>
      <c r="CH208" s="528"/>
      <c r="CI208" s="528"/>
      <c r="CJ208" s="528"/>
      <c r="CK208" s="528"/>
      <c r="CL208" s="529"/>
      <c r="CM208" s="527" t="s">
        <v>516</v>
      </c>
      <c r="CN208" s="528"/>
      <c r="CO208" s="528"/>
      <c r="CP208" s="528"/>
      <c r="CQ208" s="528"/>
      <c r="CR208" s="529"/>
      <c r="CS208" s="527" t="s">
        <v>516</v>
      </c>
      <c r="CT208" s="528"/>
      <c r="CU208" s="528"/>
      <c r="CV208" s="528"/>
      <c r="CW208" s="528"/>
      <c r="CX208" s="529"/>
      <c r="CY208" s="527"/>
      <c r="CZ208" s="528"/>
      <c r="DA208" s="528"/>
      <c r="DB208" s="528"/>
      <c r="DC208" s="528"/>
      <c r="DD208" s="529"/>
    </row>
    <row r="209" spans="1:108" ht="15" x14ac:dyDescent="0.25">
      <c r="A209" s="49"/>
      <c r="B209" s="33">
        <v>37</v>
      </c>
      <c r="C209" s="212" t="s">
        <v>268</v>
      </c>
      <c r="D209" s="527" t="s">
        <v>383</v>
      </c>
      <c r="E209" s="528"/>
      <c r="F209" s="528"/>
      <c r="G209" s="528"/>
      <c r="H209" s="528"/>
      <c r="I209" s="529"/>
      <c r="J209" s="220">
        <f t="shared" si="264"/>
        <v>0</v>
      </c>
      <c r="K209" s="9">
        <f t="shared" si="264"/>
        <v>0</v>
      </c>
      <c r="L209" s="27">
        <f t="shared" si="264"/>
        <v>0</v>
      </c>
      <c r="M209" s="12">
        <f t="shared" si="264"/>
        <v>0</v>
      </c>
      <c r="N209" s="9">
        <f t="shared" si="264"/>
        <v>0</v>
      </c>
      <c r="O209" s="27">
        <f t="shared" si="264"/>
        <v>0</v>
      </c>
      <c r="T209" s="227"/>
      <c r="U209" s="227"/>
      <c r="V209" s="227"/>
      <c r="W209" s="227"/>
      <c r="X209" s="227"/>
      <c r="Y209" s="227"/>
      <c r="Z209" s="227"/>
      <c r="AA209" s="35"/>
      <c r="AB209" s="35"/>
      <c r="AC209" s="35"/>
      <c r="AD209" s="35"/>
      <c r="AE209" s="35"/>
      <c r="AF209" s="227"/>
      <c r="AG209" s="35"/>
      <c r="AH209" s="35"/>
      <c r="AI209" s="35"/>
      <c r="AJ209" s="35"/>
      <c r="AK209" s="227"/>
      <c r="AL209" s="35"/>
      <c r="AM209" s="35"/>
      <c r="AN209" s="35"/>
      <c r="AO209" s="35"/>
      <c r="AP209" s="227"/>
      <c r="AQ209" s="35"/>
      <c r="AR209" s="35"/>
      <c r="AS209" s="35"/>
      <c r="AT209" s="35"/>
      <c r="AU209" s="227"/>
      <c r="AV209" s="35"/>
      <c r="AW209" s="35"/>
      <c r="AX209" s="35"/>
      <c r="AY209" s="35"/>
      <c r="AZ209" s="227"/>
      <c r="BA209" s="35"/>
      <c r="BB209" s="35"/>
      <c r="BC209" s="35"/>
      <c r="BD209" s="35"/>
      <c r="BE209" s="227"/>
      <c r="BF209" s="227"/>
      <c r="BG209" s="227"/>
      <c r="BH209" s="35"/>
      <c r="BI209" s="35"/>
      <c r="BJ209" s="56"/>
      <c r="BK209" s="47"/>
      <c r="BL209" s="234"/>
      <c r="BM209" s="234"/>
      <c r="BN209" s="234"/>
      <c r="BO209" s="234"/>
      <c r="BP209" s="234"/>
      <c r="BQ209" s="227"/>
      <c r="BR209" s="227"/>
      <c r="BS209" s="227"/>
      <c r="BT209" s="227"/>
      <c r="BU209" s="227"/>
      <c r="CA209" s="527" t="s">
        <v>383</v>
      </c>
      <c r="CB209" s="528"/>
      <c r="CC209" s="528"/>
      <c r="CD209" s="528"/>
      <c r="CE209" s="528"/>
      <c r="CF209" s="529"/>
      <c r="CG209" s="527" t="s">
        <v>501</v>
      </c>
      <c r="CH209" s="528"/>
      <c r="CI209" s="528"/>
      <c r="CJ209" s="528"/>
      <c r="CK209" s="528"/>
      <c r="CL209" s="529"/>
      <c r="CM209" s="527" t="s">
        <v>501</v>
      </c>
      <c r="CN209" s="528"/>
      <c r="CO209" s="528"/>
      <c r="CP209" s="528"/>
      <c r="CQ209" s="528"/>
      <c r="CR209" s="529"/>
      <c r="CS209" s="527" t="s">
        <v>501</v>
      </c>
      <c r="CT209" s="528"/>
      <c r="CU209" s="528"/>
      <c r="CV209" s="528"/>
      <c r="CW209" s="528"/>
      <c r="CX209" s="529"/>
      <c r="CY209" s="527"/>
      <c r="CZ209" s="528"/>
      <c r="DA209" s="528"/>
      <c r="DB209" s="528"/>
      <c r="DC209" s="528"/>
      <c r="DD209" s="529"/>
    </row>
    <row r="210" spans="1:108" ht="15" x14ac:dyDescent="0.25">
      <c r="A210" s="49"/>
      <c r="B210" s="33">
        <v>47</v>
      </c>
      <c r="C210" s="212" t="s">
        <v>301</v>
      </c>
      <c r="D210" s="527" t="s">
        <v>384</v>
      </c>
      <c r="E210" s="528"/>
      <c r="F210" s="528"/>
      <c r="G210" s="528"/>
      <c r="H210" s="528"/>
      <c r="I210" s="529"/>
      <c r="J210" s="220" t="str">
        <f t="shared" si="264"/>
        <v>niet leverbaar</v>
      </c>
      <c r="K210" s="9" t="str">
        <f t="shared" si="264"/>
        <v>niet leverbaar</v>
      </c>
      <c r="L210" s="27" t="str">
        <f t="shared" si="264"/>
        <v>niet leverbaar</v>
      </c>
      <c r="M210" s="12" t="str">
        <f t="shared" si="264"/>
        <v>niet leverbaar</v>
      </c>
      <c r="N210" s="9" t="str">
        <f t="shared" si="264"/>
        <v>niet leverbaar</v>
      </c>
      <c r="O210" s="27" t="str">
        <f t="shared" si="264"/>
        <v>niet leverbaar</v>
      </c>
      <c r="T210" s="227"/>
      <c r="U210" s="227"/>
      <c r="V210" s="227"/>
      <c r="W210" s="227"/>
      <c r="X210" s="227"/>
      <c r="Y210" s="227"/>
      <c r="Z210" s="227"/>
      <c r="AA210" s="35"/>
      <c r="AB210" s="35"/>
      <c r="AC210" s="35"/>
      <c r="AD210" s="35"/>
      <c r="AE210" s="35"/>
      <c r="AF210" s="227"/>
      <c r="AG210" s="35"/>
      <c r="AH210" s="35"/>
      <c r="AI210" s="35"/>
      <c r="AJ210" s="35"/>
      <c r="AK210" s="227"/>
      <c r="AL210" s="35"/>
      <c r="AM210" s="35"/>
      <c r="AN210" s="35"/>
      <c r="AO210" s="35"/>
      <c r="AP210" s="227"/>
      <c r="AQ210" s="35"/>
      <c r="AR210" s="35"/>
      <c r="AS210" s="35"/>
      <c r="AT210" s="35"/>
      <c r="AU210" s="227"/>
      <c r="AV210" s="35"/>
      <c r="AW210" s="35"/>
      <c r="AX210" s="35"/>
      <c r="AY210" s="35"/>
      <c r="AZ210" s="227"/>
      <c r="BA210" s="35"/>
      <c r="BB210" s="35"/>
      <c r="BC210" s="35"/>
      <c r="BD210" s="35"/>
      <c r="BE210" s="227"/>
      <c r="BF210" s="227"/>
      <c r="BG210" s="227"/>
      <c r="BH210" s="35"/>
      <c r="BI210" s="35"/>
      <c r="BJ210" s="56"/>
      <c r="BK210" s="47"/>
      <c r="BL210" s="234"/>
      <c r="BM210" s="234"/>
      <c r="BN210" s="234"/>
      <c r="BO210" s="234"/>
      <c r="BP210" s="234"/>
      <c r="BQ210" s="227"/>
      <c r="BR210" s="227"/>
      <c r="BS210" s="227"/>
      <c r="BT210" s="227"/>
      <c r="BU210" s="227"/>
      <c r="CA210" s="527" t="s">
        <v>384</v>
      </c>
      <c r="CB210" s="528"/>
      <c r="CC210" s="528"/>
      <c r="CD210" s="528"/>
      <c r="CE210" s="528"/>
      <c r="CF210" s="529"/>
      <c r="CG210" s="527" t="s">
        <v>502</v>
      </c>
      <c r="CH210" s="528"/>
      <c r="CI210" s="528"/>
      <c r="CJ210" s="528"/>
      <c r="CK210" s="528"/>
      <c r="CL210" s="529"/>
      <c r="CM210" s="527" t="s">
        <v>502</v>
      </c>
      <c r="CN210" s="528"/>
      <c r="CO210" s="528"/>
      <c r="CP210" s="528"/>
      <c r="CQ210" s="528"/>
      <c r="CR210" s="529"/>
      <c r="CS210" s="527" t="s">
        <v>502</v>
      </c>
      <c r="CT210" s="528"/>
      <c r="CU210" s="528"/>
      <c r="CV210" s="528"/>
      <c r="CW210" s="528"/>
      <c r="CX210" s="529"/>
      <c r="CY210" s="527"/>
      <c r="CZ210" s="528"/>
      <c r="DA210" s="528"/>
      <c r="DB210" s="528"/>
      <c r="DC210" s="528"/>
      <c r="DD210" s="529"/>
    </row>
    <row r="211" spans="1:108" x14ac:dyDescent="0.2">
      <c r="A211" s="1" t="s">
        <v>166</v>
      </c>
      <c r="C211" s="211" t="s">
        <v>53</v>
      </c>
      <c r="D211" s="506"/>
      <c r="E211" s="493"/>
      <c r="F211" s="493"/>
      <c r="G211" s="493"/>
      <c r="H211" s="493"/>
      <c r="I211" s="508"/>
      <c r="J211" s="220"/>
      <c r="K211" s="9"/>
      <c r="L211" s="27"/>
      <c r="M211" s="12"/>
      <c r="N211" s="9"/>
      <c r="O211" s="27"/>
      <c r="P211" s="84"/>
      <c r="T211" s="227"/>
      <c r="U211" s="227"/>
      <c r="V211" s="227"/>
      <c r="W211" s="227"/>
      <c r="X211" s="227"/>
      <c r="Y211" s="227"/>
      <c r="Z211" s="227"/>
      <c r="AA211" s="35"/>
      <c r="AB211" s="34"/>
      <c r="AC211" s="34"/>
      <c r="AD211" s="34"/>
      <c r="AE211" s="34"/>
      <c r="AF211" s="227"/>
      <c r="AG211" s="34"/>
      <c r="AH211" s="34"/>
      <c r="AI211" s="34"/>
      <c r="AJ211" s="34"/>
      <c r="AK211" s="227"/>
      <c r="AL211" s="34"/>
      <c r="AM211" s="34"/>
      <c r="AN211" s="34"/>
      <c r="AO211" s="34"/>
      <c r="AP211" s="227"/>
      <c r="AQ211" s="34"/>
      <c r="AR211" s="34"/>
      <c r="AS211" s="34"/>
      <c r="AT211" s="34"/>
      <c r="AU211" s="227"/>
      <c r="AV211" s="34"/>
      <c r="AW211" s="34"/>
      <c r="AX211" s="34"/>
      <c r="AY211" s="34"/>
      <c r="AZ211" s="227"/>
      <c r="BA211" s="34"/>
      <c r="BB211" s="34"/>
      <c r="BC211" s="34"/>
      <c r="BD211" s="34"/>
      <c r="BE211" s="227"/>
      <c r="BF211" s="227"/>
      <c r="BG211" s="227"/>
      <c r="BH211" s="35"/>
      <c r="BI211" s="35"/>
      <c r="BJ211" s="56"/>
      <c r="BK211" s="47"/>
      <c r="BL211" s="234"/>
      <c r="BM211" s="234"/>
      <c r="BN211" s="234"/>
      <c r="BO211" s="234"/>
      <c r="BP211" s="234"/>
      <c r="BQ211" s="227"/>
      <c r="BR211" s="227"/>
      <c r="BS211" s="227"/>
      <c r="BT211" s="227"/>
      <c r="BU211" s="227"/>
      <c r="CA211" s="506"/>
      <c r="CB211" s="493"/>
      <c r="CC211" s="493"/>
      <c r="CD211" s="493"/>
      <c r="CE211" s="493"/>
      <c r="CF211" s="508"/>
      <c r="CG211" s="506"/>
      <c r="CH211" s="493"/>
      <c r="CI211" s="493"/>
      <c r="CJ211" s="493"/>
      <c r="CK211" s="493"/>
      <c r="CL211" s="508"/>
      <c r="CM211" s="506"/>
      <c r="CN211" s="493"/>
      <c r="CO211" s="493"/>
      <c r="CP211" s="493"/>
      <c r="CQ211" s="493"/>
      <c r="CR211" s="508"/>
      <c r="CS211" s="506"/>
      <c r="CT211" s="493"/>
      <c r="CU211" s="493"/>
      <c r="CV211" s="493"/>
      <c r="CW211" s="493"/>
      <c r="CX211" s="508"/>
      <c r="CY211" s="506"/>
      <c r="CZ211" s="493"/>
      <c r="DA211" s="493"/>
      <c r="DB211" s="493"/>
      <c r="DC211" s="493"/>
      <c r="DD211" s="508"/>
    </row>
    <row r="212" spans="1:108" ht="15" x14ac:dyDescent="0.25">
      <c r="A212" s="49"/>
      <c r="B212" s="33">
        <v>21</v>
      </c>
      <c r="C212" s="212" t="s">
        <v>422</v>
      </c>
      <c r="D212" s="527" t="s">
        <v>385</v>
      </c>
      <c r="E212" s="528"/>
      <c r="F212" s="528"/>
      <c r="G212" s="528"/>
      <c r="H212" s="528"/>
      <c r="I212" s="529"/>
      <c r="J212" s="220">
        <f t="shared" ref="J212:O214" si="265">J132</f>
        <v>10839.953271008453</v>
      </c>
      <c r="K212" s="9">
        <f t="shared" si="265"/>
        <v>1795.1467289740012</v>
      </c>
      <c r="L212" s="27">
        <f t="shared" si="265"/>
        <v>8536.9710280315194</v>
      </c>
      <c r="M212" s="12">
        <f t="shared" si="265"/>
        <v>103133.994392457</v>
      </c>
      <c r="N212" s="9">
        <f t="shared" si="265"/>
        <v>3143.0060747663597</v>
      </c>
      <c r="O212" s="27">
        <f t="shared" si="265"/>
        <v>544.50841121964163</v>
      </c>
      <c r="T212" s="227"/>
      <c r="U212" s="227"/>
      <c r="V212" s="227"/>
      <c r="W212" s="227"/>
      <c r="X212" s="227"/>
      <c r="Y212" s="227"/>
      <c r="Z212" s="227"/>
      <c r="AA212" s="35"/>
      <c r="AB212" s="35"/>
      <c r="AC212" s="35"/>
      <c r="AD212" s="35"/>
      <c r="AE212" s="35"/>
      <c r="AF212" s="227"/>
      <c r="AG212" s="35"/>
      <c r="AH212" s="35"/>
      <c r="AI212" s="35"/>
      <c r="AJ212" s="35"/>
      <c r="AK212" s="227"/>
      <c r="AL212" s="35"/>
      <c r="AM212" s="35"/>
      <c r="AN212" s="35"/>
      <c r="AO212" s="35"/>
      <c r="AP212" s="227"/>
      <c r="AQ212" s="35"/>
      <c r="AR212" s="35"/>
      <c r="AS212" s="35"/>
      <c r="AT212" s="35"/>
      <c r="AU212" s="227"/>
      <c r="AV212" s="35"/>
      <c r="AW212" s="35"/>
      <c r="AX212" s="35"/>
      <c r="AY212" s="35"/>
      <c r="AZ212" s="227"/>
      <c r="BA212" s="35"/>
      <c r="BB212" s="35"/>
      <c r="BC212" s="35"/>
      <c r="BD212" s="35"/>
      <c r="BE212" s="227"/>
      <c r="BF212" s="227"/>
      <c r="BG212" s="227"/>
      <c r="BH212" s="35"/>
      <c r="BI212" s="35"/>
      <c r="BJ212" s="56"/>
      <c r="BK212" s="47"/>
      <c r="BL212" s="234"/>
      <c r="BM212" s="234"/>
      <c r="BN212" s="234"/>
      <c r="BO212" s="234"/>
      <c r="BP212" s="234"/>
      <c r="BQ212" s="227"/>
      <c r="BR212" s="227"/>
      <c r="BS212" s="227"/>
      <c r="BT212" s="227"/>
      <c r="BU212" s="227"/>
      <c r="CA212" s="527" t="s">
        <v>385</v>
      </c>
      <c r="CB212" s="528"/>
      <c r="CC212" s="528"/>
      <c r="CD212" s="528"/>
      <c r="CE212" s="528"/>
      <c r="CF212" s="529"/>
      <c r="CG212" s="527" t="s">
        <v>385</v>
      </c>
      <c r="CH212" s="528"/>
      <c r="CI212" s="528"/>
      <c r="CJ212" s="528"/>
      <c r="CK212" s="528"/>
      <c r="CL212" s="529"/>
      <c r="CM212" s="527" t="s">
        <v>385</v>
      </c>
      <c r="CN212" s="528"/>
      <c r="CO212" s="528"/>
      <c r="CP212" s="528"/>
      <c r="CQ212" s="528"/>
      <c r="CR212" s="529"/>
      <c r="CS212" s="527" t="s">
        <v>385</v>
      </c>
      <c r="CT212" s="528"/>
      <c r="CU212" s="528"/>
      <c r="CV212" s="528"/>
      <c r="CW212" s="528"/>
      <c r="CX212" s="529"/>
      <c r="CY212" s="527"/>
      <c r="CZ212" s="528"/>
      <c r="DA212" s="528"/>
      <c r="DB212" s="528"/>
      <c r="DC212" s="528"/>
      <c r="DD212" s="529"/>
    </row>
    <row r="213" spans="1:108" ht="15" x14ac:dyDescent="0.25">
      <c r="A213" s="49"/>
      <c r="B213" s="33">
        <v>31</v>
      </c>
      <c r="C213" s="212" t="s">
        <v>302</v>
      </c>
      <c r="D213" s="527" t="s">
        <v>386</v>
      </c>
      <c r="E213" s="528"/>
      <c r="F213" s="528"/>
      <c r="G213" s="528"/>
      <c r="H213" s="528"/>
      <c r="I213" s="529"/>
      <c r="J213" s="220">
        <f t="shared" si="265"/>
        <v>18978.355324338678</v>
      </c>
      <c r="K213" s="9">
        <f t="shared" si="265"/>
        <v>6307.8260803743351</v>
      </c>
      <c r="L213" s="27">
        <f t="shared" si="265"/>
        <v>9402.231196696288</v>
      </c>
      <c r="M213" s="12">
        <f t="shared" si="265"/>
        <v>104297.10718931408</v>
      </c>
      <c r="N213" s="9">
        <f t="shared" si="265"/>
        <v>3618.9553579882904</v>
      </c>
      <c r="O213" s="27">
        <f t="shared" si="265"/>
        <v>1832.412891026851</v>
      </c>
      <c r="T213" s="227"/>
      <c r="U213" s="227"/>
      <c r="V213" s="227"/>
      <c r="W213" s="227"/>
      <c r="X213" s="227"/>
      <c r="Y213" s="227"/>
      <c r="Z213" s="227"/>
      <c r="AA213" s="35"/>
      <c r="AB213" s="35"/>
      <c r="AC213" s="35"/>
      <c r="AD213" s="35"/>
      <c r="AE213" s="35"/>
      <c r="AF213" s="227"/>
      <c r="AG213" s="35"/>
      <c r="AH213" s="35"/>
      <c r="AI213" s="35"/>
      <c r="AJ213" s="35"/>
      <c r="AK213" s="227"/>
      <c r="AL213" s="35"/>
      <c r="AM213" s="35"/>
      <c r="AN213" s="35"/>
      <c r="AO213" s="35"/>
      <c r="AP213" s="227"/>
      <c r="AQ213" s="35"/>
      <c r="AR213" s="35"/>
      <c r="AS213" s="35"/>
      <c r="AT213" s="35"/>
      <c r="AU213" s="227"/>
      <c r="AV213" s="35"/>
      <c r="AW213" s="35"/>
      <c r="AX213" s="35"/>
      <c r="AY213" s="35"/>
      <c r="AZ213" s="227"/>
      <c r="BA213" s="35"/>
      <c r="BB213" s="35"/>
      <c r="BC213" s="35"/>
      <c r="BD213" s="35"/>
      <c r="BE213" s="227"/>
      <c r="BF213" s="227"/>
      <c r="BG213" s="227"/>
      <c r="BH213" s="35"/>
      <c r="BI213" s="35"/>
      <c r="BJ213" s="56"/>
      <c r="BK213" s="47"/>
      <c r="BL213" s="234"/>
      <c r="BM213" s="234"/>
      <c r="BN213" s="234"/>
      <c r="BO213" s="234"/>
      <c r="BP213" s="234"/>
      <c r="BQ213" s="227"/>
      <c r="BR213" s="227"/>
      <c r="BS213" s="227"/>
      <c r="BT213" s="227"/>
      <c r="BU213" s="227"/>
      <c r="CA213" s="527" t="s">
        <v>386</v>
      </c>
      <c r="CB213" s="528"/>
      <c r="CC213" s="528"/>
      <c r="CD213" s="528"/>
      <c r="CE213" s="528"/>
      <c r="CF213" s="529"/>
      <c r="CG213" s="527" t="s">
        <v>386</v>
      </c>
      <c r="CH213" s="528"/>
      <c r="CI213" s="528"/>
      <c r="CJ213" s="528"/>
      <c r="CK213" s="528"/>
      <c r="CL213" s="529"/>
      <c r="CM213" s="527" t="s">
        <v>517</v>
      </c>
      <c r="CN213" s="528"/>
      <c r="CO213" s="528"/>
      <c r="CP213" s="528"/>
      <c r="CQ213" s="528"/>
      <c r="CR213" s="529"/>
      <c r="CS213" s="527" t="s">
        <v>517</v>
      </c>
      <c r="CT213" s="528"/>
      <c r="CU213" s="528"/>
      <c r="CV213" s="528"/>
      <c r="CW213" s="528"/>
      <c r="CX213" s="529"/>
      <c r="CY213" s="527"/>
      <c r="CZ213" s="528"/>
      <c r="DA213" s="528"/>
      <c r="DB213" s="528"/>
      <c r="DC213" s="528"/>
      <c r="DD213" s="529"/>
    </row>
    <row r="214" spans="1:108" ht="15" x14ac:dyDescent="0.25">
      <c r="A214" s="49"/>
      <c r="B214" s="33">
        <v>41</v>
      </c>
      <c r="C214" s="212" t="s">
        <v>303</v>
      </c>
      <c r="D214" s="527" t="s">
        <v>374</v>
      </c>
      <c r="E214" s="528"/>
      <c r="F214" s="528"/>
      <c r="G214" s="528"/>
      <c r="H214" s="528"/>
      <c r="I214" s="529"/>
      <c r="J214" s="220">
        <f t="shared" si="265"/>
        <v>0</v>
      </c>
      <c r="K214" s="9">
        <f t="shared" si="265"/>
        <v>0</v>
      </c>
      <c r="L214" s="27">
        <f t="shared" si="265"/>
        <v>0</v>
      </c>
      <c r="M214" s="12">
        <f t="shared" si="265"/>
        <v>0</v>
      </c>
      <c r="N214" s="9">
        <f t="shared" si="265"/>
        <v>0</v>
      </c>
      <c r="O214" s="27">
        <f t="shared" si="265"/>
        <v>0</v>
      </c>
      <c r="T214" s="227"/>
      <c r="U214" s="227"/>
      <c r="V214" s="227"/>
      <c r="W214" s="227"/>
      <c r="X214" s="227"/>
      <c r="Y214" s="227"/>
      <c r="Z214" s="227"/>
      <c r="AA214" s="35"/>
      <c r="AB214" s="35"/>
      <c r="AC214" s="35"/>
      <c r="AD214" s="35"/>
      <c r="AE214" s="35"/>
      <c r="AF214" s="227"/>
      <c r="AG214" s="35"/>
      <c r="AH214" s="35"/>
      <c r="AI214" s="35"/>
      <c r="AJ214" s="35"/>
      <c r="AK214" s="227"/>
      <c r="AL214" s="35"/>
      <c r="AM214" s="35"/>
      <c r="AN214" s="35"/>
      <c r="AO214" s="35"/>
      <c r="AP214" s="227"/>
      <c r="AQ214" s="35"/>
      <c r="AR214" s="35"/>
      <c r="AS214" s="35"/>
      <c r="AT214" s="35"/>
      <c r="AU214" s="227"/>
      <c r="AV214" s="35"/>
      <c r="AW214" s="35"/>
      <c r="AX214" s="35"/>
      <c r="AY214" s="35"/>
      <c r="AZ214" s="227"/>
      <c r="BA214" s="35"/>
      <c r="BB214" s="35"/>
      <c r="BC214" s="35"/>
      <c r="BD214" s="35"/>
      <c r="BE214" s="227"/>
      <c r="BF214" s="227"/>
      <c r="BG214" s="227"/>
      <c r="BH214" s="35"/>
      <c r="BI214" s="35"/>
      <c r="BJ214" s="56"/>
      <c r="BK214" s="47"/>
      <c r="BL214" s="234"/>
      <c r="BM214" s="234"/>
      <c r="BN214" s="234"/>
      <c r="BO214" s="234"/>
      <c r="BP214" s="234"/>
      <c r="BQ214" s="227"/>
      <c r="BR214" s="227"/>
      <c r="BS214" s="227"/>
      <c r="BT214" s="227"/>
      <c r="BU214" s="227"/>
      <c r="CA214" s="527" t="s">
        <v>374</v>
      </c>
      <c r="CB214" s="528"/>
      <c r="CC214" s="528"/>
      <c r="CD214" s="528"/>
      <c r="CE214" s="528"/>
      <c r="CF214" s="529"/>
      <c r="CG214" s="527" t="s">
        <v>374</v>
      </c>
      <c r="CH214" s="528"/>
      <c r="CI214" s="528"/>
      <c r="CJ214" s="528"/>
      <c r="CK214" s="528"/>
      <c r="CL214" s="529"/>
      <c r="CM214" s="527" t="s">
        <v>374</v>
      </c>
      <c r="CN214" s="528"/>
      <c r="CO214" s="528"/>
      <c r="CP214" s="528"/>
      <c r="CQ214" s="528"/>
      <c r="CR214" s="529"/>
      <c r="CS214" s="527" t="s">
        <v>374</v>
      </c>
      <c r="CT214" s="528"/>
      <c r="CU214" s="528"/>
      <c r="CV214" s="528"/>
      <c r="CW214" s="528"/>
      <c r="CX214" s="529"/>
      <c r="CY214" s="527"/>
      <c r="CZ214" s="528"/>
      <c r="DA214" s="528"/>
      <c r="DB214" s="528"/>
      <c r="DC214" s="528"/>
      <c r="DD214" s="529"/>
    </row>
    <row r="215" spans="1:108" x14ac:dyDescent="0.2">
      <c r="A215" s="1" t="s">
        <v>167</v>
      </c>
      <c r="C215" s="211" t="s">
        <v>54</v>
      </c>
      <c r="D215" s="506"/>
      <c r="E215" s="493"/>
      <c r="F215" s="493"/>
      <c r="G215" s="493"/>
      <c r="H215" s="493"/>
      <c r="I215" s="508"/>
      <c r="J215" s="220"/>
      <c r="K215" s="9"/>
      <c r="L215" s="27"/>
      <c r="M215" s="12"/>
      <c r="N215" s="9"/>
      <c r="O215" s="27"/>
      <c r="P215" s="84"/>
      <c r="T215" s="227"/>
      <c r="U215" s="227"/>
      <c r="V215" s="227"/>
      <c r="W215" s="227"/>
      <c r="X215" s="227"/>
      <c r="Y215" s="227"/>
      <c r="Z215" s="227"/>
      <c r="AA215" s="35"/>
      <c r="AB215" s="34"/>
      <c r="AC215" s="34"/>
      <c r="AD215" s="34"/>
      <c r="AE215" s="34"/>
      <c r="AF215" s="227"/>
      <c r="AG215" s="34"/>
      <c r="AH215" s="34"/>
      <c r="AI215" s="34"/>
      <c r="AJ215" s="34"/>
      <c r="AK215" s="227"/>
      <c r="AL215" s="34"/>
      <c r="AM215" s="34"/>
      <c r="AN215" s="34"/>
      <c r="AO215" s="34"/>
      <c r="AP215" s="227"/>
      <c r="AQ215" s="34"/>
      <c r="AR215" s="34"/>
      <c r="AS215" s="34"/>
      <c r="AT215" s="34"/>
      <c r="AU215" s="227"/>
      <c r="AV215" s="34"/>
      <c r="AW215" s="34"/>
      <c r="AX215" s="34"/>
      <c r="AY215" s="34"/>
      <c r="AZ215" s="227"/>
      <c r="BA215" s="34"/>
      <c r="BB215" s="34"/>
      <c r="BC215" s="34"/>
      <c r="BD215" s="34"/>
      <c r="BE215" s="227"/>
      <c r="BF215" s="227"/>
      <c r="BG215" s="227"/>
      <c r="BH215" s="35"/>
      <c r="BI215" s="35"/>
      <c r="BJ215" s="56"/>
      <c r="BK215" s="47"/>
      <c r="BL215" s="234"/>
      <c r="BM215" s="234"/>
      <c r="BN215" s="234"/>
      <c r="BO215" s="234"/>
      <c r="BP215" s="234"/>
      <c r="BQ215" s="227"/>
      <c r="BR215" s="227"/>
      <c r="BS215" s="227"/>
      <c r="BT215" s="227"/>
      <c r="BU215" s="227"/>
      <c r="CA215" s="506"/>
      <c r="CB215" s="493"/>
      <c r="CC215" s="493"/>
      <c r="CD215" s="493"/>
      <c r="CE215" s="493"/>
      <c r="CF215" s="508"/>
      <c r="CG215" s="506"/>
      <c r="CH215" s="493"/>
      <c r="CI215" s="493"/>
      <c r="CJ215" s="493"/>
      <c r="CK215" s="493"/>
      <c r="CL215" s="508"/>
      <c r="CM215" s="506"/>
      <c r="CN215" s="493"/>
      <c r="CO215" s="493"/>
      <c r="CP215" s="493"/>
      <c r="CQ215" s="493"/>
      <c r="CR215" s="508"/>
      <c r="CS215" s="506"/>
      <c r="CT215" s="493"/>
      <c r="CU215" s="493"/>
      <c r="CV215" s="493"/>
      <c r="CW215" s="493"/>
      <c r="CX215" s="508"/>
      <c r="CY215" s="506"/>
      <c r="CZ215" s="493"/>
      <c r="DA215" s="493"/>
      <c r="DB215" s="493"/>
      <c r="DC215" s="493"/>
      <c r="DD215" s="508"/>
    </row>
    <row r="216" spans="1:108" ht="15" x14ac:dyDescent="0.25">
      <c r="A216" s="49"/>
      <c r="B216" s="33">
        <v>22</v>
      </c>
      <c r="C216" s="212" t="s">
        <v>423</v>
      </c>
      <c r="D216" s="527" t="s">
        <v>425</v>
      </c>
      <c r="E216" s="528"/>
      <c r="F216" s="528"/>
      <c r="G216" s="528"/>
      <c r="H216" s="528"/>
      <c r="I216" s="529"/>
      <c r="J216" s="220">
        <f t="shared" ref="J216:O218" si="266">J136</f>
        <v>3886.923364483725</v>
      </c>
      <c r="K216" s="9">
        <f t="shared" si="266"/>
        <v>690.72897196355677</v>
      </c>
      <c r="L216" s="27">
        <f t="shared" si="266"/>
        <v>3418.9233644787114</v>
      </c>
      <c r="M216" s="12">
        <f t="shared" si="266"/>
        <v>42575.663551340032</v>
      </c>
      <c r="N216" s="9">
        <f t="shared" si="266"/>
        <v>1388.6803738310471</v>
      </c>
      <c r="O216" s="27">
        <f t="shared" si="266"/>
        <v>154.2056074798995</v>
      </c>
      <c r="T216" s="227"/>
      <c r="U216" s="227"/>
      <c r="V216" s="227"/>
      <c r="W216" s="227"/>
      <c r="X216" s="227"/>
      <c r="Y216" s="227"/>
      <c r="Z216" s="227"/>
      <c r="AA216" s="35"/>
      <c r="AB216" s="35"/>
      <c r="AC216" s="35"/>
      <c r="AD216" s="35"/>
      <c r="AE216" s="35"/>
      <c r="AF216" s="227"/>
      <c r="AG216" s="35"/>
      <c r="AH216" s="35"/>
      <c r="AI216" s="35"/>
      <c r="AJ216" s="35"/>
      <c r="AK216" s="227"/>
      <c r="AL216" s="35"/>
      <c r="AM216" s="35"/>
      <c r="AN216" s="35"/>
      <c r="AO216" s="35"/>
      <c r="AP216" s="227"/>
      <c r="AQ216" s="35"/>
      <c r="AR216" s="35"/>
      <c r="AS216" s="35"/>
      <c r="AT216" s="35"/>
      <c r="AU216" s="227"/>
      <c r="AV216" s="35"/>
      <c r="AW216" s="35"/>
      <c r="AX216" s="35"/>
      <c r="AY216" s="35"/>
      <c r="AZ216" s="227"/>
      <c r="BA216" s="35"/>
      <c r="BB216" s="35"/>
      <c r="BC216" s="35"/>
      <c r="BD216" s="35"/>
      <c r="BE216" s="227"/>
      <c r="BF216" s="227"/>
      <c r="BG216" s="227"/>
      <c r="BH216" s="35"/>
      <c r="BI216" s="35"/>
      <c r="BJ216" s="56"/>
      <c r="BK216" s="47"/>
      <c r="BL216" s="234"/>
      <c r="BM216" s="234"/>
      <c r="BN216" s="234"/>
      <c r="BO216" s="234"/>
      <c r="BP216" s="234"/>
      <c r="BQ216" s="227"/>
      <c r="BR216" s="227"/>
      <c r="BS216" s="227"/>
      <c r="BT216" s="227"/>
      <c r="BU216" s="227"/>
      <c r="CA216" s="527" t="s">
        <v>425</v>
      </c>
      <c r="CB216" s="528"/>
      <c r="CC216" s="528"/>
      <c r="CD216" s="528"/>
      <c r="CE216" s="528"/>
      <c r="CF216" s="529"/>
      <c r="CG216" s="527" t="s">
        <v>425</v>
      </c>
      <c r="CH216" s="528"/>
      <c r="CI216" s="528"/>
      <c r="CJ216" s="528"/>
      <c r="CK216" s="528"/>
      <c r="CL216" s="529"/>
      <c r="CM216" s="527" t="s">
        <v>518</v>
      </c>
      <c r="CN216" s="528"/>
      <c r="CO216" s="528"/>
      <c r="CP216" s="528"/>
      <c r="CQ216" s="528"/>
      <c r="CR216" s="529"/>
      <c r="CS216" s="527" t="s">
        <v>518</v>
      </c>
      <c r="CT216" s="528"/>
      <c r="CU216" s="528"/>
      <c r="CV216" s="528"/>
      <c r="CW216" s="528"/>
      <c r="CX216" s="529"/>
      <c r="CY216" s="527"/>
      <c r="CZ216" s="528"/>
      <c r="DA216" s="528"/>
      <c r="DB216" s="528"/>
      <c r="DC216" s="528"/>
      <c r="DD216" s="529"/>
    </row>
    <row r="217" spans="1:108" ht="15" x14ac:dyDescent="0.25">
      <c r="A217" s="49"/>
      <c r="B217" s="33">
        <v>32</v>
      </c>
      <c r="C217" s="212" t="s">
        <v>304</v>
      </c>
      <c r="D217" s="527" t="s">
        <v>387</v>
      </c>
      <c r="E217" s="528"/>
      <c r="F217" s="528"/>
      <c r="G217" s="528"/>
      <c r="H217" s="528"/>
      <c r="I217" s="529"/>
      <c r="J217" s="220">
        <f t="shared" si="266"/>
        <v>3064.4085981331223</v>
      </c>
      <c r="K217" s="9">
        <f t="shared" si="266"/>
        <v>550.71233644813924</v>
      </c>
      <c r="L217" s="27">
        <f t="shared" si="266"/>
        <v>1851.7988785050748</v>
      </c>
      <c r="M217" s="12">
        <f t="shared" si="266"/>
        <v>22961.151214944668</v>
      </c>
      <c r="N217" s="9">
        <f t="shared" si="266"/>
        <v>694.161869158944</v>
      </c>
      <c r="O217" s="27">
        <f t="shared" si="266"/>
        <v>171.8638317761114</v>
      </c>
      <c r="T217" s="227"/>
      <c r="U217" s="227"/>
      <c r="V217" s="227"/>
      <c r="W217" s="227"/>
      <c r="X217" s="227"/>
      <c r="Y217" s="227"/>
      <c r="Z217" s="227"/>
      <c r="AA217" s="35"/>
      <c r="AB217" s="35"/>
      <c r="AC217" s="35"/>
      <c r="AD217" s="35"/>
      <c r="AE217" s="35"/>
      <c r="AF217" s="227"/>
      <c r="AG217" s="35"/>
      <c r="AH217" s="35"/>
      <c r="AI217" s="35"/>
      <c r="AJ217" s="35"/>
      <c r="AK217" s="227"/>
      <c r="AL217" s="35"/>
      <c r="AM217" s="35"/>
      <c r="AN217" s="35"/>
      <c r="AO217" s="35"/>
      <c r="AP217" s="227"/>
      <c r="AQ217" s="35"/>
      <c r="AR217" s="35"/>
      <c r="AS217" s="35"/>
      <c r="AT217" s="35"/>
      <c r="AU217" s="227"/>
      <c r="AV217" s="35"/>
      <c r="AW217" s="35"/>
      <c r="AX217" s="35"/>
      <c r="AY217" s="35"/>
      <c r="AZ217" s="227"/>
      <c r="BA217" s="35"/>
      <c r="BB217" s="35"/>
      <c r="BC217" s="35"/>
      <c r="BD217" s="35"/>
      <c r="BE217" s="227"/>
      <c r="BF217" s="227"/>
      <c r="BG217" s="227"/>
      <c r="BH217" s="35"/>
      <c r="BI217" s="35"/>
      <c r="BJ217" s="56"/>
      <c r="BK217" s="47"/>
      <c r="BL217" s="234"/>
      <c r="BM217" s="234"/>
      <c r="BN217" s="234"/>
      <c r="BO217" s="234"/>
      <c r="BP217" s="234"/>
      <c r="BQ217" s="227"/>
      <c r="BR217" s="227"/>
      <c r="BS217" s="227"/>
      <c r="BT217" s="227"/>
      <c r="BU217" s="227"/>
      <c r="CA217" s="527" t="s">
        <v>387</v>
      </c>
      <c r="CB217" s="528"/>
      <c r="CC217" s="528"/>
      <c r="CD217" s="528"/>
      <c r="CE217" s="528"/>
      <c r="CF217" s="529"/>
      <c r="CG217" s="527" t="s">
        <v>387</v>
      </c>
      <c r="CH217" s="528"/>
      <c r="CI217" s="528"/>
      <c r="CJ217" s="528"/>
      <c r="CK217" s="528"/>
      <c r="CL217" s="529"/>
      <c r="CM217" s="527" t="s">
        <v>519</v>
      </c>
      <c r="CN217" s="528"/>
      <c r="CO217" s="528"/>
      <c r="CP217" s="528"/>
      <c r="CQ217" s="528"/>
      <c r="CR217" s="529"/>
      <c r="CS217" s="527" t="s">
        <v>519</v>
      </c>
      <c r="CT217" s="528"/>
      <c r="CU217" s="528"/>
      <c r="CV217" s="528"/>
      <c r="CW217" s="528"/>
      <c r="CX217" s="529"/>
      <c r="CY217" s="527"/>
      <c r="CZ217" s="528"/>
      <c r="DA217" s="528"/>
      <c r="DB217" s="528"/>
      <c r="DC217" s="528"/>
      <c r="DD217" s="529"/>
    </row>
    <row r="218" spans="1:108" ht="15" x14ac:dyDescent="0.25">
      <c r="A218" s="49"/>
      <c r="B218" s="33">
        <v>42</v>
      </c>
      <c r="C218" s="212" t="s">
        <v>305</v>
      </c>
      <c r="D218" s="527" t="s">
        <v>388</v>
      </c>
      <c r="E218" s="528"/>
      <c r="F218" s="528"/>
      <c r="G218" s="528"/>
      <c r="H218" s="528"/>
      <c r="I218" s="529"/>
      <c r="J218" s="220">
        <f t="shared" si="266"/>
        <v>1862.0942579430709</v>
      </c>
      <c r="K218" s="9">
        <f t="shared" si="266"/>
        <v>267.3130093471251</v>
      </c>
      <c r="L218" s="27">
        <f t="shared" si="266"/>
        <v>1561.5002859863455</v>
      </c>
      <c r="M218" s="12">
        <f t="shared" si="266"/>
        <v>8195.7831869325073</v>
      </c>
      <c r="N218" s="9">
        <f t="shared" si="266"/>
        <v>1172.7669308418733</v>
      </c>
      <c r="O218" s="27">
        <f t="shared" si="266"/>
        <v>53.133911214194988</v>
      </c>
      <c r="T218" s="227"/>
      <c r="U218" s="227"/>
      <c r="V218" s="227"/>
      <c r="W218" s="227"/>
      <c r="X218" s="227"/>
      <c r="Y218" s="227"/>
      <c r="Z218" s="227"/>
      <c r="AA218" s="35"/>
      <c r="AB218" s="35"/>
      <c r="AC218" s="35"/>
      <c r="AD218" s="35"/>
      <c r="AE218" s="35"/>
      <c r="AF218" s="227"/>
      <c r="AG218" s="35"/>
      <c r="AH218" s="35"/>
      <c r="AI218" s="35"/>
      <c r="AJ218" s="35"/>
      <c r="AK218" s="227"/>
      <c r="AL218" s="35"/>
      <c r="AM218" s="35"/>
      <c r="AN218" s="35"/>
      <c r="AO218" s="35"/>
      <c r="AP218" s="227"/>
      <c r="AQ218" s="35"/>
      <c r="AR218" s="35"/>
      <c r="AS218" s="35"/>
      <c r="AT218" s="35"/>
      <c r="AU218" s="227"/>
      <c r="AV218" s="35"/>
      <c r="AW218" s="35"/>
      <c r="AX218" s="35"/>
      <c r="AY218" s="35"/>
      <c r="AZ218" s="227"/>
      <c r="BA218" s="35"/>
      <c r="BB218" s="35"/>
      <c r="BC218" s="35"/>
      <c r="BD218" s="35"/>
      <c r="BE218" s="227"/>
      <c r="BF218" s="227"/>
      <c r="BG218" s="227"/>
      <c r="BH218" s="35"/>
      <c r="BI218" s="35"/>
      <c r="BJ218" s="56"/>
      <c r="BK218" s="47"/>
      <c r="BL218" s="234"/>
      <c r="BM218" s="234"/>
      <c r="BN218" s="234"/>
      <c r="BO218" s="234"/>
      <c r="BP218" s="234"/>
      <c r="BQ218" s="227"/>
      <c r="BR218" s="227"/>
      <c r="BS218" s="227"/>
      <c r="BT218" s="227"/>
      <c r="BU218" s="227"/>
      <c r="CA218" s="527" t="s">
        <v>388</v>
      </c>
      <c r="CB218" s="528"/>
      <c r="CC218" s="528"/>
      <c r="CD218" s="528"/>
      <c r="CE218" s="528"/>
      <c r="CF218" s="529"/>
      <c r="CG218" s="527" t="s">
        <v>388</v>
      </c>
      <c r="CH218" s="528"/>
      <c r="CI218" s="528"/>
      <c r="CJ218" s="528"/>
      <c r="CK218" s="528"/>
      <c r="CL218" s="529"/>
      <c r="CM218" s="527" t="s">
        <v>520</v>
      </c>
      <c r="CN218" s="528"/>
      <c r="CO218" s="528"/>
      <c r="CP218" s="528"/>
      <c r="CQ218" s="528"/>
      <c r="CR218" s="529"/>
      <c r="CS218" s="527" t="s">
        <v>520</v>
      </c>
      <c r="CT218" s="528"/>
      <c r="CU218" s="528"/>
      <c r="CV218" s="528"/>
      <c r="CW218" s="528"/>
      <c r="CX218" s="529"/>
      <c r="CY218" s="527"/>
      <c r="CZ218" s="528"/>
      <c r="DA218" s="528"/>
      <c r="DB218" s="528"/>
      <c r="DC218" s="528"/>
      <c r="DD218" s="529"/>
    </row>
    <row r="219" spans="1:108" x14ac:dyDescent="0.2">
      <c r="A219" s="1" t="s">
        <v>168</v>
      </c>
      <c r="C219" s="211" t="s">
        <v>55</v>
      </c>
      <c r="D219" s="506"/>
      <c r="E219" s="493"/>
      <c r="F219" s="493"/>
      <c r="G219" s="493"/>
      <c r="H219" s="493"/>
      <c r="I219" s="508"/>
      <c r="J219" s="220"/>
      <c r="K219" s="9"/>
      <c r="L219" s="27"/>
      <c r="M219" s="12"/>
      <c r="N219" s="9"/>
      <c r="O219" s="27"/>
      <c r="P219" s="84"/>
      <c r="T219" s="227"/>
      <c r="U219" s="227"/>
      <c r="V219" s="227"/>
      <c r="W219" s="227"/>
      <c r="X219" s="227"/>
      <c r="Y219" s="227"/>
      <c r="Z219" s="227"/>
      <c r="AA219" s="35"/>
      <c r="AB219" s="34"/>
      <c r="AC219" s="34"/>
      <c r="AD219" s="34"/>
      <c r="AE219" s="34"/>
      <c r="AF219" s="227"/>
      <c r="AG219" s="34"/>
      <c r="AH219" s="34"/>
      <c r="AI219" s="34"/>
      <c r="AJ219" s="34"/>
      <c r="AK219" s="227"/>
      <c r="AL219" s="34"/>
      <c r="AM219" s="34"/>
      <c r="AN219" s="34"/>
      <c r="AO219" s="34"/>
      <c r="AP219" s="227"/>
      <c r="AQ219" s="34"/>
      <c r="AR219" s="34"/>
      <c r="AS219" s="34"/>
      <c r="AT219" s="34"/>
      <c r="AU219" s="227"/>
      <c r="AV219" s="34"/>
      <c r="AW219" s="34"/>
      <c r="AX219" s="34"/>
      <c r="AY219" s="34"/>
      <c r="AZ219" s="227"/>
      <c r="BA219" s="34"/>
      <c r="BB219" s="34"/>
      <c r="BC219" s="34"/>
      <c r="BD219" s="34"/>
      <c r="BE219" s="227"/>
      <c r="BF219" s="227"/>
      <c r="BG219" s="227"/>
      <c r="BH219" s="35"/>
      <c r="BI219" s="35"/>
      <c r="BJ219" s="56"/>
      <c r="BK219" s="47"/>
      <c r="BL219" s="234"/>
      <c r="BM219" s="234"/>
      <c r="BN219" s="234"/>
      <c r="BO219" s="234"/>
      <c r="BP219" s="234"/>
      <c r="BQ219" s="227"/>
      <c r="BR219" s="227"/>
      <c r="BS219" s="227"/>
      <c r="BT219" s="227"/>
      <c r="BU219" s="227"/>
      <c r="CA219" s="506"/>
      <c r="CB219" s="493"/>
      <c r="CC219" s="493"/>
      <c r="CD219" s="493"/>
      <c r="CE219" s="493"/>
      <c r="CF219" s="508"/>
      <c r="CG219" s="506"/>
      <c r="CH219" s="493"/>
      <c r="CI219" s="493"/>
      <c r="CJ219" s="493"/>
      <c r="CK219" s="493"/>
      <c r="CL219" s="508"/>
      <c r="CM219" s="506"/>
      <c r="CN219" s="493"/>
      <c r="CO219" s="493"/>
      <c r="CP219" s="493"/>
      <c r="CQ219" s="493"/>
      <c r="CR219" s="508"/>
      <c r="CS219" s="506"/>
      <c r="CT219" s="493"/>
      <c r="CU219" s="493"/>
      <c r="CV219" s="493"/>
      <c r="CW219" s="493"/>
      <c r="CX219" s="508"/>
      <c r="CY219" s="506"/>
      <c r="CZ219" s="493"/>
      <c r="DA219" s="493"/>
      <c r="DB219" s="493"/>
      <c r="DC219" s="493"/>
      <c r="DD219" s="508"/>
    </row>
    <row r="220" spans="1:108" ht="15" x14ac:dyDescent="0.25">
      <c r="A220" s="49"/>
      <c r="B220" s="33">
        <v>23</v>
      </c>
      <c r="C220" s="212" t="s">
        <v>306</v>
      </c>
      <c r="D220" s="527" t="s">
        <v>374</v>
      </c>
      <c r="E220" s="528"/>
      <c r="F220" s="528"/>
      <c r="G220" s="528"/>
      <c r="H220" s="528"/>
      <c r="I220" s="529"/>
      <c r="J220" s="220">
        <f t="shared" ref="J220:O222" si="267">J140</f>
        <v>0</v>
      </c>
      <c r="K220" s="9">
        <f t="shared" si="267"/>
        <v>0</v>
      </c>
      <c r="L220" s="27">
        <f t="shared" si="267"/>
        <v>0</v>
      </c>
      <c r="M220" s="12">
        <f t="shared" si="267"/>
        <v>0</v>
      </c>
      <c r="N220" s="9">
        <f t="shared" si="267"/>
        <v>0</v>
      </c>
      <c r="O220" s="27">
        <f t="shared" si="267"/>
        <v>0</v>
      </c>
      <c r="T220" s="227"/>
      <c r="U220" s="227"/>
      <c r="V220" s="227"/>
      <c r="W220" s="227"/>
      <c r="X220" s="227"/>
      <c r="Y220" s="227"/>
      <c r="Z220" s="227"/>
      <c r="AA220" s="35"/>
      <c r="AB220" s="35"/>
      <c r="AC220" s="35"/>
      <c r="AD220" s="35"/>
      <c r="AE220" s="35"/>
      <c r="AF220" s="227"/>
      <c r="AG220" s="35"/>
      <c r="AH220" s="35"/>
      <c r="AI220" s="35"/>
      <c r="AJ220" s="35"/>
      <c r="AK220" s="227"/>
      <c r="AL220" s="35"/>
      <c r="AM220" s="35"/>
      <c r="AN220" s="35"/>
      <c r="AO220" s="35"/>
      <c r="AP220" s="227"/>
      <c r="AQ220" s="35"/>
      <c r="AR220" s="35"/>
      <c r="AS220" s="35"/>
      <c r="AT220" s="35"/>
      <c r="AU220" s="227"/>
      <c r="AV220" s="35"/>
      <c r="AW220" s="35"/>
      <c r="AX220" s="35"/>
      <c r="AY220" s="35"/>
      <c r="AZ220" s="227"/>
      <c r="BA220" s="35"/>
      <c r="BB220" s="35"/>
      <c r="BC220" s="35"/>
      <c r="BD220" s="35"/>
      <c r="BE220" s="227"/>
      <c r="BF220" s="227"/>
      <c r="BG220" s="227"/>
      <c r="BH220" s="35"/>
      <c r="BI220" s="35"/>
      <c r="BJ220" s="56"/>
      <c r="BK220" s="47"/>
      <c r="BL220" s="234"/>
      <c r="BM220" s="234"/>
      <c r="BN220" s="234"/>
      <c r="BO220" s="234"/>
      <c r="BP220" s="234"/>
      <c r="BQ220" s="227"/>
      <c r="BR220" s="227"/>
      <c r="BS220" s="227"/>
      <c r="BT220" s="227"/>
      <c r="BU220" s="227"/>
      <c r="CA220" s="527" t="s">
        <v>374</v>
      </c>
      <c r="CB220" s="528"/>
      <c r="CC220" s="528"/>
      <c r="CD220" s="528"/>
      <c r="CE220" s="528"/>
      <c r="CF220" s="529"/>
      <c r="CG220" s="527" t="s">
        <v>503</v>
      </c>
      <c r="CH220" s="528"/>
      <c r="CI220" s="528"/>
      <c r="CJ220" s="528"/>
      <c r="CK220" s="528"/>
      <c r="CL220" s="529"/>
      <c r="CM220" s="527" t="s">
        <v>374</v>
      </c>
      <c r="CN220" s="528"/>
      <c r="CO220" s="528"/>
      <c r="CP220" s="528"/>
      <c r="CQ220" s="528"/>
      <c r="CR220" s="529"/>
      <c r="CS220" s="527" t="s">
        <v>374</v>
      </c>
      <c r="CT220" s="528"/>
      <c r="CU220" s="528"/>
      <c r="CV220" s="528"/>
      <c r="CW220" s="528"/>
      <c r="CX220" s="529"/>
      <c r="CY220" s="527"/>
      <c r="CZ220" s="528"/>
      <c r="DA220" s="528"/>
      <c r="DB220" s="528"/>
      <c r="DC220" s="528"/>
      <c r="DD220" s="529"/>
    </row>
    <row r="221" spans="1:108" ht="15" x14ac:dyDescent="0.25">
      <c r="A221" s="49"/>
      <c r="B221" s="33">
        <v>33</v>
      </c>
      <c r="C221" s="212" t="s">
        <v>307</v>
      </c>
      <c r="D221" s="527" t="s">
        <v>389</v>
      </c>
      <c r="E221" s="528"/>
      <c r="F221" s="528"/>
      <c r="G221" s="528"/>
      <c r="H221" s="528"/>
      <c r="I221" s="529"/>
      <c r="J221" s="220">
        <f t="shared" si="267"/>
        <v>92.652336448685602</v>
      </c>
      <c r="K221" s="9">
        <f t="shared" si="267"/>
        <v>36.977803738239423</v>
      </c>
      <c r="L221" s="27">
        <f t="shared" si="267"/>
        <v>64.888317757025007</v>
      </c>
      <c r="M221" s="12">
        <f t="shared" si="267"/>
        <v>331.5876168220592</v>
      </c>
      <c r="N221" s="9">
        <f t="shared" si="267"/>
        <v>48.78785046726361</v>
      </c>
      <c r="O221" s="27">
        <f t="shared" si="267"/>
        <v>2.2587616822250385</v>
      </c>
      <c r="T221" s="227"/>
      <c r="U221" s="227"/>
      <c r="V221" s="227"/>
      <c r="W221" s="227"/>
      <c r="X221" s="227"/>
      <c r="Y221" s="227"/>
      <c r="Z221" s="227"/>
      <c r="AA221" s="35"/>
      <c r="AB221" s="35"/>
      <c r="AC221" s="35"/>
      <c r="AD221" s="35"/>
      <c r="AE221" s="35"/>
      <c r="AF221" s="227"/>
      <c r="AG221" s="35"/>
      <c r="AH221" s="35"/>
      <c r="AI221" s="35"/>
      <c r="AJ221" s="35"/>
      <c r="AK221" s="227"/>
      <c r="AL221" s="35"/>
      <c r="AM221" s="35"/>
      <c r="AN221" s="35"/>
      <c r="AO221" s="35"/>
      <c r="AP221" s="227"/>
      <c r="AQ221" s="35"/>
      <c r="AR221" s="35"/>
      <c r="AS221" s="35"/>
      <c r="AT221" s="35"/>
      <c r="AU221" s="227"/>
      <c r="AV221" s="35"/>
      <c r="AW221" s="35"/>
      <c r="AX221" s="35"/>
      <c r="AY221" s="35"/>
      <c r="AZ221" s="227"/>
      <c r="BA221" s="35"/>
      <c r="BB221" s="35"/>
      <c r="BC221" s="35"/>
      <c r="BD221" s="35"/>
      <c r="BE221" s="227"/>
      <c r="BF221" s="227"/>
      <c r="BG221" s="227"/>
      <c r="BH221" s="35"/>
      <c r="BI221" s="35"/>
      <c r="BJ221" s="56"/>
      <c r="BK221" s="47"/>
      <c r="BL221" s="234"/>
      <c r="BM221" s="234"/>
      <c r="BN221" s="234"/>
      <c r="BO221" s="234"/>
      <c r="BP221" s="234"/>
      <c r="BQ221" s="227"/>
      <c r="BR221" s="227"/>
      <c r="BS221" s="227"/>
      <c r="BT221" s="227"/>
      <c r="BU221" s="227"/>
      <c r="CA221" s="527" t="s">
        <v>389</v>
      </c>
      <c r="CB221" s="528"/>
      <c r="CC221" s="528"/>
      <c r="CD221" s="528"/>
      <c r="CE221" s="528"/>
      <c r="CF221" s="529"/>
      <c r="CG221" s="527" t="s">
        <v>389</v>
      </c>
      <c r="CH221" s="528"/>
      <c r="CI221" s="528"/>
      <c r="CJ221" s="528"/>
      <c r="CK221" s="528"/>
      <c r="CL221" s="529"/>
      <c r="CM221" s="527" t="s">
        <v>521</v>
      </c>
      <c r="CN221" s="528"/>
      <c r="CO221" s="528"/>
      <c r="CP221" s="528"/>
      <c r="CQ221" s="528"/>
      <c r="CR221" s="529"/>
      <c r="CS221" s="527" t="s">
        <v>521</v>
      </c>
      <c r="CT221" s="528"/>
      <c r="CU221" s="528"/>
      <c r="CV221" s="528"/>
      <c r="CW221" s="528"/>
      <c r="CX221" s="529"/>
      <c r="CY221" s="527"/>
      <c r="CZ221" s="528"/>
      <c r="DA221" s="528"/>
      <c r="DB221" s="528"/>
      <c r="DC221" s="528"/>
      <c r="DD221" s="529"/>
    </row>
    <row r="222" spans="1:108" ht="15" x14ac:dyDescent="0.25">
      <c r="A222" s="49"/>
      <c r="B222" s="33">
        <v>43</v>
      </c>
      <c r="C222" s="212" t="s">
        <v>308</v>
      </c>
      <c r="D222" s="527" t="s">
        <v>390</v>
      </c>
      <c r="E222" s="528"/>
      <c r="F222" s="528"/>
      <c r="G222" s="528"/>
      <c r="H222" s="528"/>
      <c r="I222" s="529"/>
      <c r="J222" s="220">
        <f t="shared" si="267"/>
        <v>2861.9494766286466</v>
      </c>
      <c r="K222" s="9">
        <f t="shared" si="267"/>
        <v>392.38822429741924</v>
      </c>
      <c r="L222" s="27">
        <f t="shared" si="267"/>
        <v>1563.3206916044899</v>
      </c>
      <c r="M222" s="12">
        <f t="shared" si="267"/>
        <v>18548.434766506227</v>
      </c>
      <c r="N222" s="9">
        <f t="shared" si="267"/>
        <v>501.00751401832662</v>
      </c>
      <c r="O222" s="27">
        <f t="shared" si="267"/>
        <v>133.82747663481251</v>
      </c>
      <c r="T222" s="227"/>
      <c r="U222" s="227"/>
      <c r="V222" s="227"/>
      <c r="W222" s="227"/>
      <c r="X222" s="227"/>
      <c r="Y222" s="227"/>
      <c r="Z222" s="227"/>
      <c r="AA222" s="35"/>
      <c r="AB222" s="35"/>
      <c r="AC222" s="35"/>
      <c r="AD222" s="35"/>
      <c r="AE222" s="35"/>
      <c r="AF222" s="227"/>
      <c r="AG222" s="35"/>
      <c r="AH222" s="35"/>
      <c r="AI222" s="35"/>
      <c r="AJ222" s="35"/>
      <c r="AK222" s="227"/>
      <c r="AL222" s="35"/>
      <c r="AM222" s="35"/>
      <c r="AN222" s="35"/>
      <c r="AO222" s="35"/>
      <c r="AP222" s="227"/>
      <c r="AQ222" s="35"/>
      <c r="AR222" s="35"/>
      <c r="AS222" s="35"/>
      <c r="AT222" s="35"/>
      <c r="AU222" s="227"/>
      <c r="AV222" s="35"/>
      <c r="AW222" s="35"/>
      <c r="AX222" s="35"/>
      <c r="AY222" s="35"/>
      <c r="AZ222" s="227"/>
      <c r="BA222" s="35"/>
      <c r="BB222" s="35"/>
      <c r="BC222" s="35"/>
      <c r="BD222" s="35"/>
      <c r="BE222" s="227"/>
      <c r="BF222" s="227"/>
      <c r="BG222" s="227"/>
      <c r="BH222" s="35"/>
      <c r="BI222" s="35"/>
      <c r="BJ222" s="56"/>
      <c r="BK222" s="47"/>
      <c r="BL222" s="234"/>
      <c r="BM222" s="234"/>
      <c r="BN222" s="234"/>
      <c r="BO222" s="234"/>
      <c r="BP222" s="234"/>
      <c r="BQ222" s="227"/>
      <c r="BR222" s="227"/>
      <c r="BS222" s="227"/>
      <c r="BT222" s="227"/>
      <c r="BU222" s="227"/>
      <c r="CA222" s="527" t="s">
        <v>390</v>
      </c>
      <c r="CB222" s="528"/>
      <c r="CC222" s="528"/>
      <c r="CD222" s="528"/>
      <c r="CE222" s="528"/>
      <c r="CF222" s="529"/>
      <c r="CG222" s="527" t="s">
        <v>390</v>
      </c>
      <c r="CH222" s="528"/>
      <c r="CI222" s="528"/>
      <c r="CJ222" s="528"/>
      <c r="CK222" s="528"/>
      <c r="CL222" s="529"/>
      <c r="CM222" s="527" t="s">
        <v>522</v>
      </c>
      <c r="CN222" s="528"/>
      <c r="CO222" s="528"/>
      <c r="CP222" s="528"/>
      <c r="CQ222" s="528"/>
      <c r="CR222" s="529"/>
      <c r="CS222" s="527" t="s">
        <v>522</v>
      </c>
      <c r="CT222" s="528"/>
      <c r="CU222" s="528"/>
      <c r="CV222" s="528"/>
      <c r="CW222" s="528"/>
      <c r="CX222" s="529"/>
      <c r="CY222" s="527"/>
      <c r="CZ222" s="528"/>
      <c r="DA222" s="528"/>
      <c r="DB222" s="528"/>
      <c r="DC222" s="528"/>
      <c r="DD222" s="529"/>
    </row>
    <row r="223" spans="1:108" x14ac:dyDescent="0.2">
      <c r="A223" s="1" t="s">
        <v>169</v>
      </c>
      <c r="C223" s="211" t="s">
        <v>328</v>
      </c>
      <c r="D223" s="506"/>
      <c r="E223" s="493"/>
      <c r="F223" s="493"/>
      <c r="G223" s="493"/>
      <c r="H223" s="493"/>
      <c r="I223" s="508"/>
      <c r="J223" s="220"/>
      <c r="K223" s="9"/>
      <c r="L223" s="27"/>
      <c r="M223" s="12"/>
      <c r="N223" s="9"/>
      <c r="O223" s="27"/>
      <c r="P223" s="84"/>
      <c r="T223" s="227"/>
      <c r="U223" s="227"/>
      <c r="V223" s="227"/>
      <c r="W223" s="227"/>
      <c r="X223" s="227"/>
      <c r="Y223" s="227"/>
      <c r="Z223" s="227"/>
      <c r="AA223" s="35"/>
      <c r="AB223" s="34"/>
      <c r="AC223" s="34"/>
      <c r="AD223" s="34"/>
      <c r="AE223" s="34"/>
      <c r="AF223" s="227"/>
      <c r="AG223" s="34"/>
      <c r="AH223" s="34"/>
      <c r="AI223" s="34"/>
      <c r="AJ223" s="34"/>
      <c r="AK223" s="227"/>
      <c r="AL223" s="34"/>
      <c r="AM223" s="34"/>
      <c r="AN223" s="34"/>
      <c r="AO223" s="34"/>
      <c r="AP223" s="227"/>
      <c r="AQ223" s="34"/>
      <c r="AR223" s="34"/>
      <c r="AS223" s="34"/>
      <c r="AT223" s="34"/>
      <c r="AU223" s="227"/>
      <c r="AV223" s="34"/>
      <c r="AW223" s="34"/>
      <c r="AX223" s="34"/>
      <c r="AY223" s="34"/>
      <c r="AZ223" s="227"/>
      <c r="BA223" s="34"/>
      <c r="BB223" s="34"/>
      <c r="BC223" s="34"/>
      <c r="BD223" s="34"/>
      <c r="BE223" s="227"/>
      <c r="BF223" s="227"/>
      <c r="BG223" s="227"/>
      <c r="BH223" s="35"/>
      <c r="BI223" s="35"/>
      <c r="BJ223" s="56"/>
      <c r="BK223" s="47"/>
      <c r="BL223" s="234"/>
      <c r="BM223" s="234"/>
      <c r="BN223" s="234"/>
      <c r="BO223" s="234"/>
      <c r="BP223" s="234"/>
      <c r="BQ223" s="227"/>
      <c r="BR223" s="227"/>
      <c r="BS223" s="227"/>
      <c r="BT223" s="227"/>
      <c r="BU223" s="227"/>
      <c r="CA223" s="506"/>
      <c r="CB223" s="493"/>
      <c r="CC223" s="493"/>
      <c r="CD223" s="493"/>
      <c r="CE223" s="493"/>
      <c r="CF223" s="508"/>
      <c r="CG223" s="506"/>
      <c r="CH223" s="493"/>
      <c r="CI223" s="493"/>
      <c r="CJ223" s="493"/>
      <c r="CK223" s="493"/>
      <c r="CL223" s="508"/>
      <c r="CM223" s="506"/>
      <c r="CN223" s="493"/>
      <c r="CO223" s="493"/>
      <c r="CP223" s="493"/>
      <c r="CQ223" s="493"/>
      <c r="CR223" s="508"/>
      <c r="CS223" s="506"/>
      <c r="CT223" s="493"/>
      <c r="CU223" s="493"/>
      <c r="CV223" s="493"/>
      <c r="CW223" s="493"/>
      <c r="CX223" s="508"/>
      <c r="CY223" s="506"/>
      <c r="CZ223" s="493"/>
      <c r="DA223" s="493"/>
      <c r="DB223" s="493"/>
      <c r="DC223" s="493"/>
      <c r="DD223" s="508"/>
    </row>
    <row r="224" spans="1:108" ht="15" x14ac:dyDescent="0.25">
      <c r="A224" s="49"/>
      <c r="B224" s="33">
        <v>24</v>
      </c>
      <c r="C224" s="212" t="s">
        <v>329</v>
      </c>
      <c r="D224" s="527" t="s">
        <v>391</v>
      </c>
      <c r="E224" s="528"/>
      <c r="F224" s="528"/>
      <c r="G224" s="528"/>
      <c r="H224" s="528"/>
      <c r="I224" s="529"/>
      <c r="J224" s="220">
        <f t="shared" ref="J224:O226" si="268">J144</f>
        <v>0</v>
      </c>
      <c r="K224" s="9">
        <f t="shared" si="268"/>
        <v>0</v>
      </c>
      <c r="L224" s="27">
        <f t="shared" si="268"/>
        <v>0</v>
      </c>
      <c r="M224" s="12">
        <f t="shared" si="268"/>
        <v>0</v>
      </c>
      <c r="N224" s="9">
        <f t="shared" si="268"/>
        <v>0</v>
      </c>
      <c r="O224" s="27">
        <f t="shared" si="268"/>
        <v>0</v>
      </c>
      <c r="T224" s="227"/>
      <c r="U224" s="227"/>
      <c r="V224" s="227"/>
      <c r="W224" s="227"/>
      <c r="X224" s="227"/>
      <c r="Y224" s="227"/>
      <c r="Z224" s="227"/>
      <c r="AA224" s="35"/>
      <c r="AB224" s="35"/>
      <c r="AC224" s="35"/>
      <c r="AD224" s="35"/>
      <c r="AE224" s="35"/>
      <c r="AF224" s="227"/>
      <c r="AG224" s="35"/>
      <c r="AH224" s="35"/>
      <c r="AI224" s="35"/>
      <c r="AJ224" s="35"/>
      <c r="AK224" s="227"/>
      <c r="AL224" s="35"/>
      <c r="AM224" s="35"/>
      <c r="AN224" s="35"/>
      <c r="AO224" s="35"/>
      <c r="AP224" s="227"/>
      <c r="AQ224" s="35"/>
      <c r="AR224" s="35"/>
      <c r="AS224" s="35"/>
      <c r="AT224" s="35"/>
      <c r="AU224" s="227"/>
      <c r="AV224" s="35"/>
      <c r="AW224" s="35"/>
      <c r="AX224" s="35"/>
      <c r="AY224" s="35"/>
      <c r="AZ224" s="227"/>
      <c r="BA224" s="35"/>
      <c r="BB224" s="35"/>
      <c r="BC224" s="35"/>
      <c r="BD224" s="35"/>
      <c r="BE224" s="227"/>
      <c r="BF224" s="227"/>
      <c r="BG224" s="227"/>
      <c r="BH224" s="35"/>
      <c r="BI224" s="35"/>
      <c r="BJ224" s="56"/>
      <c r="BK224" s="47"/>
      <c r="BL224" s="234"/>
      <c r="BM224" s="234"/>
      <c r="BN224" s="234"/>
      <c r="BO224" s="234"/>
      <c r="BP224" s="234"/>
      <c r="BQ224" s="234"/>
      <c r="BR224" s="227"/>
      <c r="BS224" s="227"/>
      <c r="BT224" s="227"/>
      <c r="BU224" s="227"/>
      <c r="CA224" s="527" t="s">
        <v>391</v>
      </c>
      <c r="CB224" s="528"/>
      <c r="CC224" s="528"/>
      <c r="CD224" s="528"/>
      <c r="CE224" s="528"/>
      <c r="CF224" s="529"/>
      <c r="CG224" s="527" t="s">
        <v>504</v>
      </c>
      <c r="CH224" s="528"/>
      <c r="CI224" s="528"/>
      <c r="CJ224" s="528"/>
      <c r="CK224" s="528"/>
      <c r="CL224" s="529"/>
      <c r="CM224" s="527" t="s">
        <v>523</v>
      </c>
      <c r="CN224" s="528"/>
      <c r="CO224" s="528"/>
      <c r="CP224" s="528"/>
      <c r="CQ224" s="528"/>
      <c r="CR224" s="529"/>
      <c r="CS224" s="527" t="s">
        <v>523</v>
      </c>
      <c r="CT224" s="528"/>
      <c r="CU224" s="528"/>
      <c r="CV224" s="528"/>
      <c r="CW224" s="528"/>
      <c r="CX224" s="529"/>
      <c r="CY224" s="527"/>
      <c r="CZ224" s="528"/>
      <c r="DA224" s="528"/>
      <c r="DB224" s="528"/>
      <c r="DC224" s="528"/>
      <c r="DD224" s="529"/>
    </row>
    <row r="225" spans="1:108" ht="15" x14ac:dyDescent="0.25">
      <c r="A225" s="49"/>
      <c r="B225" s="33">
        <v>34</v>
      </c>
      <c r="C225" s="212" t="s">
        <v>310</v>
      </c>
      <c r="D225" s="527" t="s">
        <v>392</v>
      </c>
      <c r="E225" s="528"/>
      <c r="F225" s="528"/>
      <c r="G225" s="528"/>
      <c r="H225" s="528"/>
      <c r="I225" s="529"/>
      <c r="J225" s="220">
        <f t="shared" si="268"/>
        <v>0</v>
      </c>
      <c r="K225" s="9">
        <f t="shared" si="268"/>
        <v>0</v>
      </c>
      <c r="L225" s="27">
        <f t="shared" si="268"/>
        <v>0</v>
      </c>
      <c r="M225" s="12">
        <f t="shared" si="268"/>
        <v>0</v>
      </c>
      <c r="N225" s="9">
        <f t="shared" si="268"/>
        <v>0</v>
      </c>
      <c r="O225" s="27">
        <f t="shared" si="268"/>
        <v>0</v>
      </c>
      <c r="T225" s="227"/>
      <c r="U225" s="227"/>
      <c r="V225" s="227"/>
      <c r="W225" s="227"/>
      <c r="X225" s="227"/>
      <c r="Y225" s="227"/>
      <c r="Z225" s="227"/>
      <c r="AA225" s="35"/>
      <c r="AB225" s="35"/>
      <c r="AC225" s="35"/>
      <c r="AD225" s="35"/>
      <c r="AE225" s="35"/>
      <c r="AF225" s="227"/>
      <c r="AG225" s="35"/>
      <c r="AH225" s="35"/>
      <c r="AI225" s="35"/>
      <c r="AJ225" s="35"/>
      <c r="AK225" s="227"/>
      <c r="AL225" s="35"/>
      <c r="AM225" s="35"/>
      <c r="AN225" s="35"/>
      <c r="AO225" s="35"/>
      <c r="AP225" s="227"/>
      <c r="AQ225" s="35"/>
      <c r="AR225" s="35"/>
      <c r="AS225" s="35"/>
      <c r="AT225" s="35"/>
      <c r="AU225" s="227"/>
      <c r="AV225" s="35"/>
      <c r="AW225" s="35"/>
      <c r="AX225" s="35"/>
      <c r="AY225" s="35"/>
      <c r="AZ225" s="227"/>
      <c r="BA225" s="35"/>
      <c r="BB225" s="35"/>
      <c r="BC225" s="35"/>
      <c r="BD225" s="35"/>
      <c r="BE225" s="227"/>
      <c r="BF225" s="227"/>
      <c r="BG225" s="227"/>
      <c r="BH225" s="35"/>
      <c r="BI225" s="35"/>
      <c r="BJ225" s="56"/>
      <c r="BK225" s="47"/>
      <c r="BL225" s="234"/>
      <c r="BM225" s="234"/>
      <c r="BN225" s="234"/>
      <c r="BO225" s="234"/>
      <c r="BP225" s="234"/>
      <c r="BQ225" s="227"/>
      <c r="BR225" s="227"/>
      <c r="BS225" s="227"/>
      <c r="BT225" s="227"/>
      <c r="BU225" s="227"/>
      <c r="CA225" s="527" t="s">
        <v>392</v>
      </c>
      <c r="CB225" s="528"/>
      <c r="CC225" s="528"/>
      <c r="CD225" s="528"/>
      <c r="CE225" s="528"/>
      <c r="CF225" s="529"/>
      <c r="CG225" s="527" t="s">
        <v>505</v>
      </c>
      <c r="CH225" s="528"/>
      <c r="CI225" s="528"/>
      <c r="CJ225" s="528"/>
      <c r="CK225" s="528"/>
      <c r="CL225" s="529"/>
      <c r="CM225" s="527" t="s">
        <v>524</v>
      </c>
      <c r="CN225" s="528"/>
      <c r="CO225" s="528"/>
      <c r="CP225" s="528"/>
      <c r="CQ225" s="528"/>
      <c r="CR225" s="529"/>
      <c r="CS225" s="527" t="s">
        <v>524</v>
      </c>
      <c r="CT225" s="528"/>
      <c r="CU225" s="528"/>
      <c r="CV225" s="528"/>
      <c r="CW225" s="528"/>
      <c r="CX225" s="529"/>
      <c r="CY225" s="527"/>
      <c r="CZ225" s="528"/>
      <c r="DA225" s="528"/>
      <c r="DB225" s="528"/>
      <c r="DC225" s="528"/>
      <c r="DD225" s="529"/>
    </row>
    <row r="226" spans="1:108" ht="15" x14ac:dyDescent="0.25">
      <c r="A226" s="49"/>
      <c r="B226" s="33">
        <v>44</v>
      </c>
      <c r="C226" s="212" t="s">
        <v>311</v>
      </c>
      <c r="D226" s="527" t="s">
        <v>393</v>
      </c>
      <c r="E226" s="528"/>
      <c r="F226" s="528"/>
      <c r="G226" s="528"/>
      <c r="H226" s="528"/>
      <c r="I226" s="529"/>
      <c r="J226" s="220">
        <f t="shared" si="268"/>
        <v>0</v>
      </c>
      <c r="K226" s="9">
        <f t="shared" si="268"/>
        <v>0</v>
      </c>
      <c r="L226" s="27">
        <f t="shared" si="268"/>
        <v>0</v>
      </c>
      <c r="M226" s="12">
        <f t="shared" si="268"/>
        <v>0</v>
      </c>
      <c r="N226" s="9">
        <f t="shared" si="268"/>
        <v>0</v>
      </c>
      <c r="O226" s="27">
        <f t="shared" si="268"/>
        <v>0</v>
      </c>
      <c r="T226" s="227"/>
      <c r="U226" s="227"/>
      <c r="V226" s="227"/>
      <c r="W226" s="227"/>
      <c r="X226" s="227"/>
      <c r="Y226" s="227"/>
      <c r="Z226" s="227"/>
      <c r="AA226" s="35"/>
      <c r="AB226" s="35"/>
      <c r="AC226" s="35"/>
      <c r="AD226" s="35"/>
      <c r="AE226" s="35"/>
      <c r="AF226" s="227"/>
      <c r="AG226" s="35"/>
      <c r="AH226" s="35"/>
      <c r="AI226" s="35"/>
      <c r="AJ226" s="35"/>
      <c r="AK226" s="227"/>
      <c r="AL226" s="35"/>
      <c r="AM226" s="35"/>
      <c r="AN226" s="35"/>
      <c r="AO226" s="35"/>
      <c r="AP226" s="227"/>
      <c r="AQ226" s="35"/>
      <c r="AR226" s="35"/>
      <c r="AS226" s="35"/>
      <c r="AT226" s="35"/>
      <c r="AU226" s="227"/>
      <c r="AV226" s="35"/>
      <c r="AW226" s="35"/>
      <c r="AX226" s="35"/>
      <c r="AY226" s="35"/>
      <c r="AZ226" s="227"/>
      <c r="BA226" s="35"/>
      <c r="BB226" s="35"/>
      <c r="BC226" s="35"/>
      <c r="BD226" s="35"/>
      <c r="BE226" s="227"/>
      <c r="BF226" s="227"/>
      <c r="BG226" s="227"/>
      <c r="BH226" s="35"/>
      <c r="BI226" s="35"/>
      <c r="BJ226" s="56"/>
      <c r="BK226" s="47"/>
      <c r="BL226" s="234"/>
      <c r="BM226" s="234"/>
      <c r="BN226" s="234"/>
      <c r="BO226" s="234"/>
      <c r="BP226" s="234"/>
      <c r="BQ226" s="227"/>
      <c r="BR226" s="227"/>
      <c r="BS226" s="227"/>
      <c r="BT226" s="227"/>
      <c r="BU226" s="227"/>
      <c r="CA226" s="527" t="s">
        <v>393</v>
      </c>
      <c r="CB226" s="528"/>
      <c r="CC226" s="528"/>
      <c r="CD226" s="528"/>
      <c r="CE226" s="528"/>
      <c r="CF226" s="529"/>
      <c r="CG226" s="527" t="s">
        <v>393</v>
      </c>
      <c r="CH226" s="528"/>
      <c r="CI226" s="528"/>
      <c r="CJ226" s="528"/>
      <c r="CK226" s="528"/>
      <c r="CL226" s="529"/>
      <c r="CM226" s="527" t="s">
        <v>393</v>
      </c>
      <c r="CN226" s="528"/>
      <c r="CO226" s="528"/>
      <c r="CP226" s="528"/>
      <c r="CQ226" s="528"/>
      <c r="CR226" s="529"/>
      <c r="CS226" s="527" t="s">
        <v>393</v>
      </c>
      <c r="CT226" s="528"/>
      <c r="CU226" s="528"/>
      <c r="CV226" s="528"/>
      <c r="CW226" s="528"/>
      <c r="CX226" s="529"/>
      <c r="CY226" s="527"/>
      <c r="CZ226" s="528"/>
      <c r="DA226" s="528"/>
      <c r="DB226" s="528"/>
      <c r="DC226" s="528"/>
      <c r="DD226" s="529"/>
    </row>
    <row r="227" spans="1:108" x14ac:dyDescent="0.2">
      <c r="A227" s="1" t="s">
        <v>170</v>
      </c>
      <c r="C227" s="211" t="s">
        <v>56</v>
      </c>
      <c r="D227" s="506"/>
      <c r="E227" s="493"/>
      <c r="F227" s="493"/>
      <c r="G227" s="493"/>
      <c r="H227" s="493"/>
      <c r="I227" s="508"/>
      <c r="J227" s="220"/>
      <c r="K227" s="9"/>
      <c r="L227" s="27"/>
      <c r="M227" s="12"/>
      <c r="N227" s="9"/>
      <c r="O227" s="27"/>
      <c r="P227" s="84"/>
      <c r="T227" s="227"/>
      <c r="U227" s="227"/>
      <c r="V227" s="227"/>
      <c r="W227" s="227"/>
      <c r="X227" s="227"/>
      <c r="Y227" s="227"/>
      <c r="Z227" s="227"/>
      <c r="AA227" s="35"/>
      <c r="AB227" s="35"/>
      <c r="AC227" s="35"/>
      <c r="AD227" s="35"/>
      <c r="AE227" s="35"/>
      <c r="AF227" s="227"/>
      <c r="AG227" s="35"/>
      <c r="AH227" s="35"/>
      <c r="AI227" s="35"/>
      <c r="AJ227" s="35"/>
      <c r="AK227" s="227"/>
      <c r="AL227" s="35"/>
      <c r="AM227" s="35"/>
      <c r="AN227" s="35"/>
      <c r="AO227" s="35"/>
      <c r="AP227" s="227"/>
      <c r="AQ227" s="35"/>
      <c r="AR227" s="35"/>
      <c r="AS227" s="35"/>
      <c r="AT227" s="35"/>
      <c r="AU227" s="227"/>
      <c r="AV227" s="35"/>
      <c r="AW227" s="35"/>
      <c r="AX227" s="35"/>
      <c r="AY227" s="35"/>
      <c r="AZ227" s="227"/>
      <c r="BA227" s="35"/>
      <c r="BB227" s="35"/>
      <c r="BC227" s="35"/>
      <c r="BD227" s="35"/>
      <c r="BE227" s="227"/>
      <c r="BF227" s="227"/>
      <c r="BG227" s="227"/>
      <c r="BH227" s="35"/>
      <c r="BI227" s="35"/>
      <c r="BJ227" s="56"/>
      <c r="BK227" s="47"/>
      <c r="BL227" s="234"/>
      <c r="BM227" s="234"/>
      <c r="BN227" s="234"/>
      <c r="BO227" s="234"/>
      <c r="BP227" s="234"/>
      <c r="BQ227" s="227"/>
      <c r="BR227" s="227"/>
      <c r="BS227" s="227"/>
      <c r="BT227" s="227"/>
      <c r="BU227" s="227"/>
      <c r="CA227" s="506"/>
      <c r="CB227" s="493"/>
      <c r="CC227" s="493"/>
      <c r="CD227" s="493"/>
      <c r="CE227" s="493"/>
      <c r="CF227" s="508"/>
      <c r="CG227" s="506"/>
      <c r="CH227" s="493"/>
      <c r="CI227" s="493"/>
      <c r="CJ227" s="493"/>
      <c r="CK227" s="493"/>
      <c r="CL227" s="508"/>
      <c r="CM227" s="506"/>
      <c r="CN227" s="493"/>
      <c r="CO227" s="493"/>
      <c r="CP227" s="493"/>
      <c r="CQ227" s="493"/>
      <c r="CR227" s="508"/>
      <c r="CS227" s="506"/>
      <c r="CT227" s="493"/>
      <c r="CU227" s="493"/>
      <c r="CV227" s="493"/>
      <c r="CW227" s="493"/>
      <c r="CX227" s="508"/>
      <c r="CY227" s="506"/>
      <c r="CZ227" s="493"/>
      <c r="DA227" s="493"/>
      <c r="DB227" s="493"/>
      <c r="DC227" s="493"/>
      <c r="DD227" s="508"/>
    </row>
    <row r="228" spans="1:108" ht="15" x14ac:dyDescent="0.25">
      <c r="A228" s="49"/>
      <c r="B228" s="33">
        <v>45</v>
      </c>
      <c r="C228" s="212" t="s">
        <v>312</v>
      </c>
      <c r="D228" s="527" t="s">
        <v>394</v>
      </c>
      <c r="E228" s="528"/>
      <c r="F228" s="528"/>
      <c r="G228" s="528"/>
      <c r="H228" s="528"/>
      <c r="I228" s="529"/>
      <c r="J228" s="220">
        <f t="shared" ref="J228:O228" si="269">J148</f>
        <v>638.41121495325842</v>
      </c>
      <c r="K228" s="9">
        <f t="shared" si="269"/>
        <v>210.95327102415345</v>
      </c>
      <c r="L228" s="27">
        <f t="shared" si="269"/>
        <v>605.65794393350586</v>
      </c>
      <c r="M228" s="12">
        <f t="shared" si="269"/>
        <v>12072.63364500034</v>
      </c>
      <c r="N228" s="9">
        <f t="shared" si="269"/>
        <v>64.951401866644744</v>
      </c>
      <c r="O228" s="27">
        <f t="shared" si="269"/>
        <v>54.403738319957476</v>
      </c>
      <c r="T228" s="227"/>
      <c r="U228" s="227"/>
      <c r="V228" s="227"/>
      <c r="W228" s="227"/>
      <c r="X228" s="227"/>
      <c r="Y228" s="227"/>
      <c r="Z228" s="227"/>
      <c r="AA228" s="35"/>
      <c r="AB228" s="35"/>
      <c r="AC228" s="35"/>
      <c r="AD228" s="35"/>
      <c r="AE228" s="35"/>
      <c r="AF228" s="227"/>
      <c r="AG228" s="35"/>
      <c r="AH228" s="35"/>
      <c r="AI228" s="35"/>
      <c r="AJ228" s="35"/>
      <c r="AK228" s="227"/>
      <c r="AL228" s="35"/>
      <c r="AM228" s="35"/>
      <c r="AN228" s="35"/>
      <c r="AO228" s="35"/>
      <c r="AP228" s="227"/>
      <c r="AQ228" s="35"/>
      <c r="AR228" s="35"/>
      <c r="AS228" s="35"/>
      <c r="AT228" s="35"/>
      <c r="AU228" s="227"/>
      <c r="AV228" s="35"/>
      <c r="AW228" s="35"/>
      <c r="AX228" s="35"/>
      <c r="AY228" s="35"/>
      <c r="AZ228" s="227"/>
      <c r="BA228" s="35"/>
      <c r="BB228" s="35"/>
      <c r="BC228" s="35"/>
      <c r="BD228" s="35"/>
      <c r="BE228" s="227"/>
      <c r="BF228" s="227"/>
      <c r="BG228" s="227"/>
      <c r="BH228" s="35"/>
      <c r="BI228" s="35"/>
      <c r="BJ228" s="56"/>
      <c r="BK228" s="47"/>
      <c r="BL228" s="234"/>
      <c r="BM228" s="234"/>
      <c r="BN228" s="234"/>
      <c r="BO228" s="234"/>
      <c r="BP228" s="234"/>
      <c r="BQ228" s="227"/>
      <c r="BR228" s="227"/>
      <c r="BS228" s="227"/>
      <c r="BT228" s="227"/>
      <c r="BU228" s="227"/>
      <c r="CA228" s="527" t="s">
        <v>394</v>
      </c>
      <c r="CB228" s="528"/>
      <c r="CC228" s="528"/>
      <c r="CD228" s="528"/>
      <c r="CE228" s="528"/>
      <c r="CF228" s="529"/>
      <c r="CG228" s="527" t="s">
        <v>394</v>
      </c>
      <c r="CH228" s="528"/>
      <c r="CI228" s="528"/>
      <c r="CJ228" s="528"/>
      <c r="CK228" s="528"/>
      <c r="CL228" s="529"/>
      <c r="CM228" s="527" t="s">
        <v>525</v>
      </c>
      <c r="CN228" s="528"/>
      <c r="CO228" s="528"/>
      <c r="CP228" s="528"/>
      <c r="CQ228" s="528"/>
      <c r="CR228" s="529"/>
      <c r="CS228" s="527" t="s">
        <v>525</v>
      </c>
      <c r="CT228" s="528"/>
      <c r="CU228" s="528"/>
      <c r="CV228" s="528"/>
      <c r="CW228" s="528"/>
      <c r="CX228" s="529"/>
      <c r="CY228" s="527"/>
      <c r="CZ228" s="528"/>
      <c r="DA228" s="528"/>
      <c r="DB228" s="528"/>
      <c r="DC228" s="528"/>
      <c r="DD228" s="529"/>
    </row>
    <row r="229" spans="1:108" x14ac:dyDescent="0.2">
      <c r="C229" s="15" t="s">
        <v>42</v>
      </c>
      <c r="D229" s="498"/>
      <c r="E229" s="499"/>
      <c r="F229" s="499"/>
      <c r="G229" s="499"/>
      <c r="H229" s="499"/>
      <c r="I229" s="500"/>
      <c r="J229" s="221"/>
      <c r="K229" s="9"/>
      <c r="L229" s="27"/>
      <c r="M229" s="12"/>
      <c r="N229" s="9"/>
      <c r="O229" s="27"/>
      <c r="P229" s="84"/>
      <c r="T229" s="227"/>
      <c r="U229" s="227"/>
      <c r="V229" s="227"/>
      <c r="W229" s="227"/>
      <c r="X229" s="227"/>
      <c r="Y229" s="227"/>
      <c r="Z229" s="227"/>
      <c r="AA229" s="35"/>
      <c r="AB229" s="36"/>
      <c r="AC229" s="36"/>
      <c r="AD229" s="36"/>
      <c r="AE229" s="36"/>
      <c r="AF229" s="227"/>
      <c r="AG229" s="36"/>
      <c r="AH229" s="36"/>
      <c r="AI229" s="36"/>
      <c r="AJ229" s="36"/>
      <c r="AK229" s="227"/>
      <c r="AL229" s="36"/>
      <c r="AM229" s="36"/>
      <c r="AN229" s="36"/>
      <c r="AO229" s="36"/>
      <c r="AP229" s="227"/>
      <c r="AQ229" s="36"/>
      <c r="AR229" s="36"/>
      <c r="AS229" s="36"/>
      <c r="AT229" s="36"/>
      <c r="AU229" s="227"/>
      <c r="AV229" s="36"/>
      <c r="AW229" s="36"/>
      <c r="AX229" s="36"/>
      <c r="AY229" s="36"/>
      <c r="AZ229" s="227"/>
      <c r="BA229" s="36"/>
      <c r="BB229" s="36"/>
      <c r="BC229" s="36"/>
      <c r="BD229" s="36"/>
      <c r="BE229" s="227"/>
      <c r="BF229" s="227"/>
      <c r="BG229" s="227"/>
      <c r="BH229" s="35"/>
      <c r="BI229" s="35"/>
      <c r="BJ229" s="56"/>
      <c r="BK229" s="47"/>
      <c r="BL229" s="234"/>
      <c r="BM229" s="234"/>
      <c r="BN229" s="234"/>
      <c r="BO229" s="234"/>
      <c r="BP229" s="234"/>
      <c r="BQ229" s="227"/>
      <c r="BR229" s="227"/>
      <c r="BS229" s="227"/>
      <c r="BT229" s="227"/>
      <c r="BU229" s="227"/>
      <c r="CA229" s="498"/>
      <c r="CB229" s="499"/>
      <c r="CC229" s="499"/>
      <c r="CD229" s="499"/>
      <c r="CE229" s="499"/>
      <c r="CF229" s="500"/>
      <c r="CG229" s="498"/>
      <c r="CH229" s="499"/>
      <c r="CI229" s="499"/>
      <c r="CJ229" s="499"/>
      <c r="CK229" s="499"/>
      <c r="CL229" s="500"/>
      <c r="CM229" s="498"/>
      <c r="CN229" s="499"/>
      <c r="CO229" s="499"/>
      <c r="CP229" s="499"/>
      <c r="CQ229" s="499"/>
      <c r="CR229" s="500"/>
      <c r="CS229" s="498"/>
      <c r="CT229" s="499"/>
      <c r="CU229" s="499"/>
      <c r="CV229" s="499"/>
      <c r="CW229" s="499"/>
      <c r="CX229" s="500"/>
      <c r="CY229" s="498"/>
      <c r="CZ229" s="499"/>
      <c r="DA229" s="499"/>
      <c r="DB229" s="499"/>
      <c r="DC229" s="499"/>
      <c r="DD229" s="500"/>
    </row>
    <row r="230" spans="1:108" x14ac:dyDescent="0.2">
      <c r="A230" s="1" t="s">
        <v>171</v>
      </c>
      <c r="C230" s="211" t="s">
        <v>9</v>
      </c>
      <c r="D230" s="506"/>
      <c r="E230" s="493"/>
      <c r="F230" s="493"/>
      <c r="G230" s="493"/>
      <c r="H230" s="493"/>
      <c r="I230" s="508"/>
      <c r="J230" s="221"/>
      <c r="K230" s="9"/>
      <c r="L230" s="27"/>
      <c r="M230" s="12"/>
      <c r="N230" s="9"/>
      <c r="O230" s="27"/>
      <c r="P230" s="84"/>
      <c r="T230" s="227"/>
      <c r="U230" s="227"/>
      <c r="V230" s="227"/>
      <c r="W230" s="227"/>
      <c r="X230" s="227"/>
      <c r="Y230" s="227"/>
      <c r="Z230" s="227"/>
      <c r="AA230" s="35"/>
      <c r="AB230" s="35"/>
      <c r="AC230" s="35"/>
      <c r="AD230" s="35"/>
      <c r="AE230" s="35"/>
      <c r="AF230" s="227"/>
      <c r="AG230" s="35"/>
      <c r="AH230" s="35"/>
      <c r="AI230" s="35"/>
      <c r="AJ230" s="35"/>
      <c r="AK230" s="227"/>
      <c r="AL230" s="35"/>
      <c r="AM230" s="35"/>
      <c r="AN230" s="35"/>
      <c r="AO230" s="35"/>
      <c r="AP230" s="227"/>
      <c r="AQ230" s="35"/>
      <c r="AR230" s="35"/>
      <c r="AS230" s="35"/>
      <c r="AT230" s="35"/>
      <c r="AU230" s="227"/>
      <c r="AV230" s="35"/>
      <c r="AW230" s="35"/>
      <c r="AX230" s="35"/>
      <c r="AY230" s="35"/>
      <c r="AZ230" s="227"/>
      <c r="BA230" s="35"/>
      <c r="BB230" s="35"/>
      <c r="BC230" s="35"/>
      <c r="BD230" s="35"/>
      <c r="BE230" s="227"/>
      <c r="BF230" s="227"/>
      <c r="BG230" s="227"/>
      <c r="BH230" s="35"/>
      <c r="BI230" s="35"/>
      <c r="BJ230" s="56"/>
      <c r="BK230" s="47"/>
      <c r="BL230" s="234"/>
      <c r="BM230" s="234"/>
      <c r="BN230" s="234"/>
      <c r="BO230" s="234"/>
      <c r="BP230" s="234"/>
      <c r="BQ230" s="227"/>
      <c r="BR230" s="227"/>
      <c r="BS230" s="227"/>
      <c r="BT230" s="227"/>
      <c r="BU230" s="227"/>
      <c r="CA230" s="506"/>
      <c r="CB230" s="493"/>
      <c r="CC230" s="493"/>
      <c r="CD230" s="493"/>
      <c r="CE230" s="493"/>
      <c r="CF230" s="508"/>
      <c r="CG230" s="506"/>
      <c r="CH230" s="493"/>
      <c r="CI230" s="493"/>
      <c r="CJ230" s="493"/>
      <c r="CK230" s="493"/>
      <c r="CL230" s="508"/>
      <c r="CM230" s="506"/>
      <c r="CN230" s="493"/>
      <c r="CO230" s="493"/>
      <c r="CP230" s="493"/>
      <c r="CQ230" s="493"/>
      <c r="CR230" s="508"/>
      <c r="CS230" s="506"/>
      <c r="CT230" s="493"/>
      <c r="CU230" s="493"/>
      <c r="CV230" s="493"/>
      <c r="CW230" s="493"/>
      <c r="CX230" s="508"/>
      <c r="CY230" s="506"/>
      <c r="CZ230" s="493"/>
      <c r="DA230" s="493"/>
      <c r="DB230" s="493"/>
      <c r="DC230" s="493"/>
      <c r="DD230" s="508"/>
    </row>
    <row r="231" spans="1:108" ht="15" x14ac:dyDescent="0.25">
      <c r="A231" s="49"/>
      <c r="B231" s="33">
        <v>51</v>
      </c>
      <c r="C231" s="212" t="s">
        <v>313</v>
      </c>
      <c r="D231" s="527" t="s">
        <v>374</v>
      </c>
      <c r="E231" s="528"/>
      <c r="F231" s="528"/>
      <c r="G231" s="528"/>
      <c r="H231" s="528"/>
      <c r="I231" s="529"/>
      <c r="J231" s="221">
        <f t="shared" ref="J231:O234" si="270">J151</f>
        <v>0</v>
      </c>
      <c r="K231" s="9">
        <f t="shared" si="270"/>
        <v>0</v>
      </c>
      <c r="L231" s="27">
        <f t="shared" si="270"/>
        <v>0</v>
      </c>
      <c r="M231" s="12">
        <f t="shared" si="270"/>
        <v>0</v>
      </c>
      <c r="N231" s="9">
        <f t="shared" si="270"/>
        <v>0</v>
      </c>
      <c r="O231" s="27">
        <f t="shared" si="270"/>
        <v>0</v>
      </c>
      <c r="T231" s="227"/>
      <c r="U231" s="227"/>
      <c r="V231" s="227"/>
      <c r="W231" s="227"/>
      <c r="X231" s="227"/>
      <c r="Y231" s="227"/>
      <c r="Z231" s="227"/>
      <c r="AA231" s="35"/>
      <c r="AB231" s="35"/>
      <c r="AC231" s="35"/>
      <c r="AD231" s="35"/>
      <c r="AE231" s="35"/>
      <c r="AF231" s="227"/>
      <c r="AG231" s="35"/>
      <c r="AH231" s="35"/>
      <c r="AI231" s="35"/>
      <c r="AJ231" s="35"/>
      <c r="AK231" s="227"/>
      <c r="AL231" s="35"/>
      <c r="AM231" s="35"/>
      <c r="AN231" s="35"/>
      <c r="AO231" s="35"/>
      <c r="AP231" s="227"/>
      <c r="AQ231" s="35"/>
      <c r="AR231" s="35"/>
      <c r="AS231" s="35"/>
      <c r="AT231" s="35"/>
      <c r="AU231" s="227"/>
      <c r="AV231" s="35"/>
      <c r="AW231" s="35"/>
      <c r="AX231" s="35"/>
      <c r="AY231" s="35"/>
      <c r="AZ231" s="227"/>
      <c r="BA231" s="35"/>
      <c r="BB231" s="35"/>
      <c r="BC231" s="35"/>
      <c r="BD231" s="35"/>
      <c r="BE231" s="227"/>
      <c r="BF231" s="227"/>
      <c r="BG231" s="227"/>
      <c r="BH231" s="35"/>
      <c r="BI231" s="35"/>
      <c r="BJ231" s="56"/>
      <c r="BK231" s="47"/>
      <c r="BL231" s="234"/>
      <c r="BM231" s="234"/>
      <c r="BN231" s="234"/>
      <c r="BO231" s="234"/>
      <c r="BP231" s="234"/>
      <c r="BQ231" s="227"/>
      <c r="BR231" s="227"/>
      <c r="BS231" s="227"/>
      <c r="BT231" s="227"/>
      <c r="BU231" s="227"/>
      <c r="CA231" s="527" t="s">
        <v>374</v>
      </c>
      <c r="CB231" s="528"/>
      <c r="CC231" s="528"/>
      <c r="CD231" s="528"/>
      <c r="CE231" s="528"/>
      <c r="CF231" s="529"/>
      <c r="CG231" s="527" t="s">
        <v>374</v>
      </c>
      <c r="CH231" s="528"/>
      <c r="CI231" s="528"/>
      <c r="CJ231" s="528"/>
      <c r="CK231" s="528"/>
      <c r="CL231" s="529"/>
      <c r="CM231" s="527" t="s">
        <v>526</v>
      </c>
      <c r="CN231" s="528"/>
      <c r="CO231" s="528"/>
      <c r="CP231" s="528"/>
      <c r="CQ231" s="528"/>
      <c r="CR231" s="529"/>
      <c r="CS231" s="527" t="s">
        <v>526</v>
      </c>
      <c r="CT231" s="528"/>
      <c r="CU231" s="528"/>
      <c r="CV231" s="528"/>
      <c r="CW231" s="528"/>
      <c r="CX231" s="529"/>
      <c r="CY231" s="527"/>
      <c r="CZ231" s="528"/>
      <c r="DA231" s="528"/>
      <c r="DB231" s="528"/>
      <c r="DC231" s="528"/>
      <c r="DD231" s="529"/>
    </row>
    <row r="232" spans="1:108" ht="15" x14ac:dyDescent="0.25">
      <c r="A232" s="49"/>
      <c r="B232" s="33">
        <v>52</v>
      </c>
      <c r="C232" s="212" t="s">
        <v>314</v>
      </c>
      <c r="D232" s="527" t="s">
        <v>381</v>
      </c>
      <c r="E232" s="528"/>
      <c r="F232" s="528"/>
      <c r="G232" s="528"/>
      <c r="H232" s="528"/>
      <c r="I232" s="529"/>
      <c r="J232" s="221">
        <f t="shared" si="270"/>
        <v>1342.0327500008625</v>
      </c>
      <c r="K232" s="9">
        <f t="shared" si="270"/>
        <v>132.17925000026298</v>
      </c>
      <c r="L232" s="27">
        <f t="shared" si="270"/>
        <v>298.86824999857708</v>
      </c>
      <c r="M232" s="12">
        <f t="shared" si="270"/>
        <v>5983.2142499953989</v>
      </c>
      <c r="N232" s="9">
        <f t="shared" si="270"/>
        <v>41.595375000019885</v>
      </c>
      <c r="O232" s="27">
        <f t="shared" si="270"/>
        <v>64.792972500566748</v>
      </c>
      <c r="T232" s="227"/>
      <c r="U232" s="227"/>
      <c r="V232" s="227"/>
      <c r="W232" s="227"/>
      <c r="X232" s="227"/>
      <c r="Y232" s="227"/>
      <c r="Z232" s="227"/>
      <c r="AA232" s="35"/>
      <c r="AB232" s="35"/>
      <c r="AC232" s="35"/>
      <c r="AD232" s="35"/>
      <c r="AE232" s="35"/>
      <c r="AF232" s="227"/>
      <c r="AG232" s="35"/>
      <c r="AH232" s="35"/>
      <c r="AI232" s="35"/>
      <c r="AJ232" s="35"/>
      <c r="AK232" s="227"/>
      <c r="AL232" s="35"/>
      <c r="AM232" s="35"/>
      <c r="AN232" s="35"/>
      <c r="AO232" s="35"/>
      <c r="AP232" s="227"/>
      <c r="AQ232" s="35"/>
      <c r="AR232" s="35"/>
      <c r="AS232" s="35"/>
      <c r="AT232" s="35"/>
      <c r="AU232" s="227"/>
      <c r="AV232" s="35"/>
      <c r="AW232" s="35"/>
      <c r="AX232" s="35"/>
      <c r="AY232" s="35"/>
      <c r="AZ232" s="227"/>
      <c r="BA232" s="35"/>
      <c r="BB232" s="35"/>
      <c r="BC232" s="35"/>
      <c r="BD232" s="35"/>
      <c r="BE232" s="227"/>
      <c r="BF232" s="227"/>
      <c r="BG232" s="227"/>
      <c r="BH232" s="35"/>
      <c r="BI232" s="35"/>
      <c r="BJ232" s="56"/>
      <c r="BK232" s="47"/>
      <c r="BL232" s="234"/>
      <c r="BM232" s="234"/>
      <c r="BN232" s="234"/>
      <c r="BO232" s="234"/>
      <c r="BP232" s="234"/>
      <c r="BQ232" s="227"/>
      <c r="BR232" s="227"/>
      <c r="BS232" s="227"/>
      <c r="BT232" s="227"/>
      <c r="BU232" s="227"/>
      <c r="CA232" s="527" t="s">
        <v>381</v>
      </c>
      <c r="CB232" s="528"/>
      <c r="CC232" s="528"/>
      <c r="CD232" s="528"/>
      <c r="CE232" s="528"/>
      <c r="CF232" s="529"/>
      <c r="CG232" s="527" t="s">
        <v>381</v>
      </c>
      <c r="CH232" s="528"/>
      <c r="CI232" s="528"/>
      <c r="CJ232" s="528"/>
      <c r="CK232" s="528"/>
      <c r="CL232" s="529"/>
      <c r="CM232" s="527" t="s">
        <v>527</v>
      </c>
      <c r="CN232" s="528"/>
      <c r="CO232" s="528"/>
      <c r="CP232" s="528"/>
      <c r="CQ232" s="528"/>
      <c r="CR232" s="529"/>
      <c r="CS232" s="527" t="s">
        <v>527</v>
      </c>
      <c r="CT232" s="528"/>
      <c r="CU232" s="528"/>
      <c r="CV232" s="528"/>
      <c r="CW232" s="528"/>
      <c r="CX232" s="529"/>
      <c r="CY232" s="527"/>
      <c r="CZ232" s="528"/>
      <c r="DA232" s="528"/>
      <c r="DB232" s="528"/>
      <c r="DC232" s="528"/>
      <c r="DD232" s="529"/>
    </row>
    <row r="233" spans="1:108" ht="15" x14ac:dyDescent="0.25">
      <c r="A233" s="49"/>
      <c r="B233" s="33">
        <v>53</v>
      </c>
      <c r="C233" s="212" t="s">
        <v>315</v>
      </c>
      <c r="D233" s="527" t="s">
        <v>381</v>
      </c>
      <c r="E233" s="528"/>
      <c r="F233" s="528"/>
      <c r="G233" s="528"/>
      <c r="H233" s="528"/>
      <c r="I233" s="529"/>
      <c r="J233" s="221">
        <f t="shared" si="270"/>
        <v>2417.2552500013353</v>
      </c>
      <c r="K233" s="9">
        <f t="shared" si="270"/>
        <v>272.31225000111294</v>
      </c>
      <c r="L233" s="27">
        <f t="shared" si="270"/>
        <v>301.48350000085884</v>
      </c>
      <c r="M233" s="12">
        <f t="shared" si="270"/>
        <v>6156.8145000161167</v>
      </c>
      <c r="N233" s="9">
        <f t="shared" si="270"/>
        <v>60.134250000663769</v>
      </c>
      <c r="O233" s="27">
        <f t="shared" si="270"/>
        <v>700.91429250049373</v>
      </c>
      <c r="T233" s="227"/>
      <c r="U233" s="227"/>
      <c r="V233" s="227"/>
      <c r="W233" s="227"/>
      <c r="X233" s="227"/>
      <c r="Y233" s="227"/>
      <c r="Z233" s="227"/>
      <c r="AA233" s="35"/>
      <c r="AB233" s="35"/>
      <c r="AC233" s="35"/>
      <c r="AD233" s="35"/>
      <c r="AE233" s="35"/>
      <c r="AF233" s="227"/>
      <c r="AG233" s="35"/>
      <c r="AH233" s="35"/>
      <c r="AI233" s="35"/>
      <c r="AJ233" s="35"/>
      <c r="AK233" s="227"/>
      <c r="AL233" s="35"/>
      <c r="AM233" s="35"/>
      <c r="AN233" s="35"/>
      <c r="AO233" s="35"/>
      <c r="AP233" s="227"/>
      <c r="AQ233" s="35"/>
      <c r="AR233" s="35"/>
      <c r="AS233" s="35"/>
      <c r="AT233" s="35"/>
      <c r="AU233" s="227"/>
      <c r="AV233" s="35"/>
      <c r="AW233" s="35"/>
      <c r="AX233" s="35"/>
      <c r="AY233" s="35"/>
      <c r="AZ233" s="227"/>
      <c r="BA233" s="35"/>
      <c r="BB233" s="35"/>
      <c r="BC233" s="35"/>
      <c r="BD233" s="35"/>
      <c r="BE233" s="227"/>
      <c r="BF233" s="227"/>
      <c r="BG233" s="227"/>
      <c r="BH233" s="35"/>
      <c r="BI233" s="35"/>
      <c r="BJ233" s="56"/>
      <c r="BK233" s="47"/>
      <c r="BL233" s="234"/>
      <c r="BM233" s="234"/>
      <c r="BN233" s="234"/>
      <c r="BO233" s="234"/>
      <c r="BP233" s="234"/>
      <c r="BQ233" s="227"/>
      <c r="BR233" s="227"/>
      <c r="BS233" s="227"/>
      <c r="BT233" s="227"/>
      <c r="BU233" s="227"/>
      <c r="CA233" s="527" t="s">
        <v>381</v>
      </c>
      <c r="CB233" s="528"/>
      <c r="CC233" s="528"/>
      <c r="CD233" s="528"/>
      <c r="CE233" s="528"/>
      <c r="CF233" s="529"/>
      <c r="CG233" s="527" t="s">
        <v>381</v>
      </c>
      <c r="CH233" s="528"/>
      <c r="CI233" s="528"/>
      <c r="CJ233" s="528"/>
      <c r="CK233" s="528"/>
      <c r="CL233" s="529"/>
      <c r="CM233" s="527" t="s">
        <v>527</v>
      </c>
      <c r="CN233" s="528"/>
      <c r="CO233" s="528"/>
      <c r="CP233" s="528"/>
      <c r="CQ233" s="528"/>
      <c r="CR233" s="529"/>
      <c r="CS233" s="527" t="s">
        <v>527</v>
      </c>
      <c r="CT233" s="528"/>
      <c r="CU233" s="528"/>
      <c r="CV233" s="528"/>
      <c r="CW233" s="528"/>
      <c r="CX233" s="529"/>
      <c r="CY233" s="527"/>
      <c r="CZ233" s="528"/>
      <c r="DA233" s="528"/>
      <c r="DB233" s="528"/>
      <c r="DC233" s="528"/>
      <c r="DD233" s="529"/>
    </row>
    <row r="234" spans="1:108" ht="15" x14ac:dyDescent="0.25">
      <c r="A234" s="49"/>
      <c r="B234" s="33">
        <v>54</v>
      </c>
      <c r="C234" s="212" t="s">
        <v>316</v>
      </c>
      <c r="D234" s="527" t="s">
        <v>381</v>
      </c>
      <c r="E234" s="528"/>
      <c r="F234" s="528"/>
      <c r="G234" s="528"/>
      <c r="H234" s="528"/>
      <c r="I234" s="529"/>
      <c r="J234" s="221">
        <f t="shared" si="270"/>
        <v>385.31024999867896</v>
      </c>
      <c r="K234" s="9">
        <f t="shared" si="270"/>
        <v>21.904500000067628</v>
      </c>
      <c r="L234" s="27">
        <f t="shared" si="270"/>
        <v>55.020750000085172</v>
      </c>
      <c r="M234" s="12">
        <f t="shared" si="270"/>
        <v>842.40674999546172</v>
      </c>
      <c r="N234" s="9">
        <f t="shared" si="270"/>
        <v>5.1157499999931133</v>
      </c>
      <c r="O234" s="27">
        <f t="shared" si="270"/>
        <v>4.0117500000519613</v>
      </c>
      <c r="T234" s="227"/>
      <c r="U234" s="227"/>
      <c r="V234" s="227"/>
      <c r="W234" s="227"/>
      <c r="X234" s="227"/>
      <c r="Y234" s="227"/>
      <c r="Z234" s="227"/>
      <c r="AA234" s="35"/>
      <c r="AB234" s="35"/>
      <c r="AC234" s="35"/>
      <c r="AD234" s="35"/>
      <c r="AE234" s="35"/>
      <c r="AF234" s="227"/>
      <c r="AG234" s="35"/>
      <c r="AH234" s="35"/>
      <c r="AI234" s="35"/>
      <c r="AJ234" s="35"/>
      <c r="AK234" s="227"/>
      <c r="AL234" s="35"/>
      <c r="AM234" s="35"/>
      <c r="AN234" s="35"/>
      <c r="AO234" s="35"/>
      <c r="AP234" s="227"/>
      <c r="AQ234" s="35"/>
      <c r="AR234" s="35"/>
      <c r="AS234" s="35"/>
      <c r="AT234" s="35"/>
      <c r="AU234" s="227"/>
      <c r="AV234" s="35"/>
      <c r="AW234" s="35"/>
      <c r="AX234" s="35"/>
      <c r="AY234" s="35"/>
      <c r="AZ234" s="227"/>
      <c r="BA234" s="35"/>
      <c r="BB234" s="35"/>
      <c r="BC234" s="35"/>
      <c r="BD234" s="35"/>
      <c r="BE234" s="227"/>
      <c r="BF234" s="227"/>
      <c r="BG234" s="227"/>
      <c r="BH234" s="35"/>
      <c r="BI234" s="35"/>
      <c r="BJ234" s="56"/>
      <c r="BK234" s="47"/>
      <c r="BL234" s="234"/>
      <c r="BM234" s="234"/>
      <c r="BN234" s="234"/>
      <c r="BO234" s="234"/>
      <c r="BP234" s="234"/>
      <c r="BQ234" s="227"/>
      <c r="BR234" s="227"/>
      <c r="BS234" s="227"/>
      <c r="BT234" s="227"/>
      <c r="BU234" s="227"/>
      <c r="CA234" s="527" t="s">
        <v>381</v>
      </c>
      <c r="CB234" s="528"/>
      <c r="CC234" s="528"/>
      <c r="CD234" s="528"/>
      <c r="CE234" s="528"/>
      <c r="CF234" s="529"/>
      <c r="CG234" s="527" t="s">
        <v>381</v>
      </c>
      <c r="CH234" s="528"/>
      <c r="CI234" s="528"/>
      <c r="CJ234" s="528"/>
      <c r="CK234" s="528"/>
      <c r="CL234" s="529"/>
      <c r="CM234" s="527" t="s">
        <v>527</v>
      </c>
      <c r="CN234" s="528"/>
      <c r="CO234" s="528"/>
      <c r="CP234" s="528"/>
      <c r="CQ234" s="528"/>
      <c r="CR234" s="529"/>
      <c r="CS234" s="527" t="s">
        <v>527</v>
      </c>
      <c r="CT234" s="528"/>
      <c r="CU234" s="528"/>
      <c r="CV234" s="528"/>
      <c r="CW234" s="528"/>
      <c r="CX234" s="529"/>
      <c r="CY234" s="527"/>
      <c r="CZ234" s="528"/>
      <c r="DA234" s="528"/>
      <c r="DB234" s="528"/>
      <c r="DC234" s="528"/>
      <c r="DD234" s="529"/>
    </row>
    <row r="235" spans="1:108" x14ac:dyDescent="0.2">
      <c r="A235" s="1" t="s">
        <v>172</v>
      </c>
      <c r="C235" s="211" t="s">
        <v>10</v>
      </c>
      <c r="D235" s="514"/>
      <c r="E235" s="515"/>
      <c r="F235" s="515"/>
      <c r="G235" s="515"/>
      <c r="H235" s="515"/>
      <c r="I235" s="516"/>
      <c r="J235" s="221"/>
      <c r="K235" s="9"/>
      <c r="L235" s="27"/>
      <c r="M235" s="12"/>
      <c r="N235" s="9"/>
      <c r="O235" s="27"/>
      <c r="P235" s="84"/>
      <c r="T235" s="227"/>
      <c r="U235" s="227"/>
      <c r="V235" s="227"/>
      <c r="W235" s="227"/>
      <c r="X235" s="227"/>
      <c r="Y235" s="227"/>
      <c r="Z235" s="227"/>
      <c r="AA235" s="35"/>
      <c r="AB235" s="35"/>
      <c r="AC235" s="35"/>
      <c r="AD235" s="35"/>
      <c r="AE235" s="35"/>
      <c r="AF235" s="227"/>
      <c r="AG235" s="35"/>
      <c r="AH235" s="35"/>
      <c r="AI235" s="35"/>
      <c r="AJ235" s="35"/>
      <c r="AK235" s="227"/>
      <c r="AL235" s="35"/>
      <c r="AM235" s="35"/>
      <c r="AN235" s="35"/>
      <c r="AO235" s="35"/>
      <c r="AP235" s="227"/>
      <c r="AQ235" s="35"/>
      <c r="AR235" s="35"/>
      <c r="AS235" s="35"/>
      <c r="AT235" s="35"/>
      <c r="AU235" s="227"/>
      <c r="AV235" s="35"/>
      <c r="AW235" s="35"/>
      <c r="AX235" s="35"/>
      <c r="AY235" s="35"/>
      <c r="AZ235" s="227"/>
      <c r="BA235" s="35"/>
      <c r="BB235" s="35"/>
      <c r="BC235" s="35"/>
      <c r="BD235" s="35"/>
      <c r="BE235" s="227"/>
      <c r="BF235" s="227"/>
      <c r="BG235" s="227"/>
      <c r="BH235" s="35"/>
      <c r="BI235" s="35"/>
      <c r="BJ235" s="56"/>
      <c r="BK235" s="47"/>
      <c r="BL235" s="234"/>
      <c r="BM235" s="234"/>
      <c r="BN235" s="234"/>
      <c r="BO235" s="234"/>
      <c r="BP235" s="234"/>
      <c r="BQ235" s="227"/>
      <c r="BR235" s="227"/>
      <c r="BS235" s="227"/>
      <c r="BT235" s="227"/>
      <c r="BU235" s="227"/>
      <c r="CA235" s="514"/>
      <c r="CB235" s="515"/>
      <c r="CC235" s="515"/>
      <c r="CD235" s="515"/>
      <c r="CE235" s="515"/>
      <c r="CF235" s="516"/>
      <c r="CG235" s="514"/>
      <c r="CH235" s="515"/>
      <c r="CI235" s="515"/>
      <c r="CJ235" s="515"/>
      <c r="CK235" s="515"/>
      <c r="CL235" s="516"/>
      <c r="CM235" s="514"/>
      <c r="CN235" s="515"/>
      <c r="CO235" s="515"/>
      <c r="CP235" s="515"/>
      <c r="CQ235" s="515"/>
      <c r="CR235" s="516"/>
      <c r="CS235" s="514"/>
      <c r="CT235" s="515"/>
      <c r="CU235" s="515"/>
      <c r="CV235" s="515"/>
      <c r="CW235" s="515"/>
      <c r="CX235" s="516"/>
      <c r="CY235" s="514"/>
      <c r="CZ235" s="515"/>
      <c r="DA235" s="515"/>
      <c r="DB235" s="515"/>
      <c r="DC235" s="515"/>
      <c r="DD235" s="516"/>
    </row>
    <row r="236" spans="1:108" x14ac:dyDescent="0.2">
      <c r="A236" s="49"/>
      <c r="B236" s="33">
        <v>55</v>
      </c>
      <c r="C236" s="212" t="s">
        <v>317</v>
      </c>
      <c r="D236" s="530" t="s">
        <v>466</v>
      </c>
      <c r="E236" s="531"/>
      <c r="F236" s="531"/>
      <c r="G236" s="531"/>
      <c r="H236" s="531"/>
      <c r="I236" s="532"/>
      <c r="J236" s="221">
        <f t="shared" ref="J236:O239" si="271">J156</f>
        <v>0</v>
      </c>
      <c r="K236" s="9">
        <f t="shared" si="271"/>
        <v>0</v>
      </c>
      <c r="L236" s="27">
        <f t="shared" si="271"/>
        <v>0</v>
      </c>
      <c r="M236" s="12">
        <f t="shared" si="271"/>
        <v>0</v>
      </c>
      <c r="N236" s="9">
        <f t="shared" si="271"/>
        <v>0</v>
      </c>
      <c r="O236" s="27">
        <f t="shared" si="271"/>
        <v>0</v>
      </c>
      <c r="T236" s="227"/>
      <c r="U236" s="227"/>
      <c r="V236" s="227"/>
      <c r="W236" s="227"/>
      <c r="X236" s="227"/>
      <c r="Y236" s="227"/>
      <c r="Z236" s="227"/>
      <c r="AA236" s="35"/>
      <c r="AB236" s="35"/>
      <c r="AC236" s="35"/>
      <c r="AD236" s="35"/>
      <c r="AE236" s="35"/>
      <c r="AF236" s="227"/>
      <c r="AG236" s="35"/>
      <c r="AH236" s="35"/>
      <c r="AI236" s="35"/>
      <c r="AJ236" s="35"/>
      <c r="AK236" s="227"/>
      <c r="AL236" s="35"/>
      <c r="AM236" s="35"/>
      <c r="AN236" s="35"/>
      <c r="AO236" s="35"/>
      <c r="AP236" s="227"/>
      <c r="AQ236" s="35"/>
      <c r="AR236" s="35"/>
      <c r="AS236" s="35"/>
      <c r="AT236" s="35"/>
      <c r="AU236" s="227"/>
      <c r="AV236" s="35"/>
      <c r="AW236" s="35"/>
      <c r="AX236" s="35"/>
      <c r="AY236" s="35"/>
      <c r="AZ236" s="227"/>
      <c r="BA236" s="35"/>
      <c r="BB236" s="35"/>
      <c r="BC236" s="35"/>
      <c r="BD236" s="35"/>
      <c r="BE236" s="227"/>
      <c r="BF236" s="227"/>
      <c r="BG236" s="227"/>
      <c r="BH236" s="35"/>
      <c r="BI236" s="35"/>
      <c r="BJ236" s="56"/>
      <c r="BK236" s="47"/>
      <c r="BL236" s="234"/>
      <c r="BM236" s="234"/>
      <c r="BN236" s="234"/>
      <c r="BO236" s="234"/>
      <c r="BP236" s="234"/>
      <c r="BQ236" s="227"/>
      <c r="BR236" s="227"/>
      <c r="BS236" s="227"/>
      <c r="BT236" s="227"/>
      <c r="BU236" s="227"/>
      <c r="CA236" s="530" t="s">
        <v>466</v>
      </c>
      <c r="CB236" s="531"/>
      <c r="CC236" s="531"/>
      <c r="CD236" s="531"/>
      <c r="CE236" s="531"/>
      <c r="CF236" s="532"/>
      <c r="CG236" s="530" t="s">
        <v>466</v>
      </c>
      <c r="CH236" s="531"/>
      <c r="CI236" s="531"/>
      <c r="CJ236" s="531"/>
      <c r="CK236" s="531"/>
      <c r="CL236" s="532"/>
      <c r="CM236" s="530" t="s">
        <v>466</v>
      </c>
      <c r="CN236" s="531"/>
      <c r="CO236" s="531"/>
      <c r="CP236" s="531"/>
      <c r="CQ236" s="531"/>
      <c r="CR236" s="532"/>
      <c r="CS236" s="530" t="s">
        <v>466</v>
      </c>
      <c r="CT236" s="531"/>
      <c r="CU236" s="531"/>
      <c r="CV236" s="531"/>
      <c r="CW236" s="531"/>
      <c r="CX236" s="532"/>
      <c r="CY236" s="530"/>
      <c r="CZ236" s="531"/>
      <c r="DA236" s="531"/>
      <c r="DB236" s="531"/>
      <c r="DC236" s="531"/>
      <c r="DD236" s="532"/>
    </row>
    <row r="237" spans="1:108" x14ac:dyDescent="0.2">
      <c r="A237" s="49"/>
      <c r="B237" s="33">
        <v>56</v>
      </c>
      <c r="C237" s="212" t="s">
        <v>318</v>
      </c>
      <c r="D237" s="530" t="s">
        <v>449</v>
      </c>
      <c r="E237" s="531"/>
      <c r="F237" s="531"/>
      <c r="G237" s="531"/>
      <c r="H237" s="531"/>
      <c r="I237" s="532"/>
      <c r="J237" s="221">
        <f t="shared" si="271"/>
        <v>7542</v>
      </c>
      <c r="K237" s="9">
        <f t="shared" si="271"/>
        <v>975.69609548753476</v>
      </c>
      <c r="L237" s="27">
        <f t="shared" si="271"/>
        <v>2548.2840661499213</v>
      </c>
      <c r="M237" s="12">
        <f t="shared" si="271"/>
        <v>38734.96793526761</v>
      </c>
      <c r="N237" s="9">
        <f t="shared" si="271"/>
        <v>265.99608773776146</v>
      </c>
      <c r="O237" s="27">
        <f t="shared" si="271"/>
        <v>907.82468962701557</v>
      </c>
      <c r="T237" s="227"/>
      <c r="U237" s="227"/>
      <c r="V237" s="227"/>
      <c r="W237" s="227"/>
      <c r="X237" s="227"/>
      <c r="Y237" s="227"/>
      <c r="Z237" s="227"/>
      <c r="AA237" s="35"/>
      <c r="AB237" s="35"/>
      <c r="AC237" s="35"/>
      <c r="AD237" s="35"/>
      <c r="AE237" s="35"/>
      <c r="AF237" s="227"/>
      <c r="AG237" s="35"/>
      <c r="AH237" s="35"/>
      <c r="AI237" s="35"/>
      <c r="AJ237" s="35"/>
      <c r="AK237" s="227"/>
      <c r="AL237" s="35"/>
      <c r="AM237" s="35"/>
      <c r="AN237" s="35"/>
      <c r="AO237" s="35"/>
      <c r="AP237" s="227"/>
      <c r="AQ237" s="35"/>
      <c r="AR237" s="35"/>
      <c r="AS237" s="35"/>
      <c r="AT237" s="35"/>
      <c r="AU237" s="227"/>
      <c r="AV237" s="35"/>
      <c r="AW237" s="35"/>
      <c r="AX237" s="35"/>
      <c r="AY237" s="35"/>
      <c r="AZ237" s="227"/>
      <c r="BA237" s="35"/>
      <c r="BB237" s="35"/>
      <c r="BC237" s="35"/>
      <c r="BD237" s="35"/>
      <c r="BE237" s="227"/>
      <c r="BF237" s="227"/>
      <c r="BG237" s="227"/>
      <c r="BH237" s="35"/>
      <c r="BI237" s="35"/>
      <c r="BJ237" s="56"/>
      <c r="BK237" s="47"/>
      <c r="BL237" s="234"/>
      <c r="BM237" s="234"/>
      <c r="BN237" s="234"/>
      <c r="BO237" s="234"/>
      <c r="BP237" s="234"/>
      <c r="BQ237" s="227"/>
      <c r="BR237" s="227"/>
      <c r="BS237" s="227"/>
      <c r="BT237" s="227"/>
      <c r="BU237" s="227"/>
      <c r="CA237" s="530" t="s">
        <v>449</v>
      </c>
      <c r="CB237" s="531"/>
      <c r="CC237" s="531"/>
      <c r="CD237" s="531"/>
      <c r="CE237" s="531"/>
      <c r="CF237" s="532"/>
      <c r="CG237" s="530" t="s">
        <v>449</v>
      </c>
      <c r="CH237" s="531"/>
      <c r="CI237" s="531"/>
      <c r="CJ237" s="531"/>
      <c r="CK237" s="531"/>
      <c r="CL237" s="532"/>
      <c r="CM237" s="530" t="s">
        <v>449</v>
      </c>
      <c r="CN237" s="531"/>
      <c r="CO237" s="531"/>
      <c r="CP237" s="531"/>
      <c r="CQ237" s="531"/>
      <c r="CR237" s="532"/>
      <c r="CS237" s="530" t="s">
        <v>449</v>
      </c>
      <c r="CT237" s="531"/>
      <c r="CU237" s="531"/>
      <c r="CV237" s="531"/>
      <c r="CW237" s="531"/>
      <c r="CX237" s="532"/>
      <c r="CY237" s="530"/>
      <c r="CZ237" s="531"/>
      <c r="DA237" s="531"/>
      <c r="DB237" s="531"/>
      <c r="DC237" s="531"/>
      <c r="DD237" s="532"/>
    </row>
    <row r="238" spans="1:108" x14ac:dyDescent="0.2">
      <c r="A238" s="49"/>
      <c r="B238" s="33">
        <v>57</v>
      </c>
      <c r="C238" s="212" t="s">
        <v>319</v>
      </c>
      <c r="D238" s="530"/>
      <c r="E238" s="531"/>
      <c r="F238" s="531"/>
      <c r="G238" s="531"/>
      <c r="H238" s="531"/>
      <c r="I238" s="532"/>
      <c r="J238" s="221">
        <f t="shared" si="271"/>
        <v>1440</v>
      </c>
      <c r="K238" s="9">
        <f t="shared" si="271"/>
        <v>346.66281470456988</v>
      </c>
      <c r="L238" s="27">
        <f t="shared" si="271"/>
        <v>926.04275234683757</v>
      </c>
      <c r="M238" s="12">
        <f t="shared" si="271"/>
        <v>14316.416785393794</v>
      </c>
      <c r="N238" s="9">
        <f t="shared" si="271"/>
        <v>87.66333249660029</v>
      </c>
      <c r="O238" s="27">
        <f t="shared" si="271"/>
        <v>498.22770524544842</v>
      </c>
      <c r="T238" s="227"/>
      <c r="U238" s="227"/>
      <c r="V238" s="227"/>
      <c r="W238" s="227"/>
      <c r="X238" s="227"/>
      <c r="Y238" s="227"/>
      <c r="Z238" s="227"/>
      <c r="AA238" s="35"/>
      <c r="AB238" s="35"/>
      <c r="AC238" s="35"/>
      <c r="AD238" s="35"/>
      <c r="AE238" s="35"/>
      <c r="AF238" s="227"/>
      <c r="AG238" s="35"/>
      <c r="AH238" s="35"/>
      <c r="AI238" s="35"/>
      <c r="AJ238" s="35"/>
      <c r="AK238" s="227"/>
      <c r="AL238" s="35"/>
      <c r="AM238" s="35"/>
      <c r="AN238" s="35"/>
      <c r="AO238" s="35"/>
      <c r="AP238" s="227"/>
      <c r="AQ238" s="35"/>
      <c r="AR238" s="35"/>
      <c r="AS238" s="35"/>
      <c r="AT238" s="35"/>
      <c r="AU238" s="227"/>
      <c r="AV238" s="35"/>
      <c r="AW238" s="35"/>
      <c r="AX238" s="35"/>
      <c r="AY238" s="35"/>
      <c r="AZ238" s="227"/>
      <c r="BA238" s="35"/>
      <c r="BB238" s="35"/>
      <c r="BC238" s="35"/>
      <c r="BD238" s="35"/>
      <c r="BE238" s="227"/>
      <c r="BF238" s="227"/>
      <c r="BG238" s="227"/>
      <c r="BH238" s="35"/>
      <c r="BI238" s="35"/>
      <c r="BJ238" s="56"/>
      <c r="BK238" s="47"/>
      <c r="BL238" s="234"/>
      <c r="BM238" s="234"/>
      <c r="BN238" s="234"/>
      <c r="BO238" s="234"/>
      <c r="BP238" s="234"/>
      <c r="BQ238" s="227"/>
      <c r="BR238" s="227"/>
      <c r="BS238" s="227"/>
      <c r="BT238" s="227"/>
      <c r="BU238" s="227"/>
      <c r="CA238" s="530"/>
      <c r="CB238" s="531"/>
      <c r="CC238" s="531"/>
      <c r="CD238" s="531"/>
      <c r="CE238" s="531"/>
      <c r="CF238" s="532"/>
      <c r="CG238" s="530"/>
      <c r="CH238" s="531"/>
      <c r="CI238" s="531"/>
      <c r="CJ238" s="531"/>
      <c r="CK238" s="531"/>
      <c r="CL238" s="532"/>
      <c r="CM238" s="530"/>
      <c r="CN238" s="531"/>
      <c r="CO238" s="531"/>
      <c r="CP238" s="531"/>
      <c r="CQ238" s="531"/>
      <c r="CR238" s="532"/>
      <c r="CS238" s="530"/>
      <c r="CT238" s="531"/>
      <c r="CU238" s="531"/>
      <c r="CV238" s="531"/>
      <c r="CW238" s="531"/>
      <c r="CX238" s="532"/>
      <c r="CY238" s="530"/>
      <c r="CZ238" s="531"/>
      <c r="DA238" s="531"/>
      <c r="DB238" s="531"/>
      <c r="DC238" s="531"/>
      <c r="DD238" s="532"/>
    </row>
    <row r="239" spans="1:108" x14ac:dyDescent="0.2">
      <c r="A239" s="49"/>
      <c r="B239" s="33">
        <v>58</v>
      </c>
      <c r="C239" s="212" t="s">
        <v>320</v>
      </c>
      <c r="D239" s="530"/>
      <c r="E239" s="531"/>
      <c r="F239" s="531"/>
      <c r="G239" s="531"/>
      <c r="H239" s="531"/>
      <c r="I239" s="532"/>
      <c r="J239" s="221">
        <f t="shared" si="271"/>
        <v>0</v>
      </c>
      <c r="K239" s="9">
        <f t="shared" si="271"/>
        <v>0</v>
      </c>
      <c r="L239" s="27">
        <f t="shared" si="271"/>
        <v>0</v>
      </c>
      <c r="M239" s="12">
        <f t="shared" si="271"/>
        <v>0</v>
      </c>
      <c r="N239" s="9">
        <f t="shared" si="271"/>
        <v>0</v>
      </c>
      <c r="O239" s="27">
        <f t="shared" si="271"/>
        <v>0</v>
      </c>
      <c r="T239" s="227"/>
      <c r="U239" s="227"/>
      <c r="V239" s="227"/>
      <c r="W239" s="227"/>
      <c r="X239" s="227"/>
      <c r="Y239" s="227"/>
      <c r="Z239" s="227"/>
      <c r="AA239" s="35"/>
      <c r="AB239" s="35"/>
      <c r="AC239" s="35"/>
      <c r="AD239" s="35"/>
      <c r="AE239" s="35"/>
      <c r="AF239" s="227"/>
      <c r="AG239" s="35"/>
      <c r="AH239" s="35"/>
      <c r="AI239" s="35"/>
      <c r="AJ239" s="35"/>
      <c r="AK239" s="227"/>
      <c r="AL239" s="35"/>
      <c r="AM239" s="35"/>
      <c r="AN239" s="35"/>
      <c r="AO239" s="35"/>
      <c r="AP239" s="227"/>
      <c r="AQ239" s="35"/>
      <c r="AR239" s="35"/>
      <c r="AS239" s="35"/>
      <c r="AT239" s="35"/>
      <c r="AU239" s="227"/>
      <c r="AV239" s="35"/>
      <c r="AW239" s="35"/>
      <c r="AX239" s="35"/>
      <c r="AY239" s="35"/>
      <c r="AZ239" s="227"/>
      <c r="BA239" s="35"/>
      <c r="BB239" s="35"/>
      <c r="BC239" s="35"/>
      <c r="BD239" s="35"/>
      <c r="BE239" s="227"/>
      <c r="BF239" s="227"/>
      <c r="BG239" s="227"/>
      <c r="BH239" s="35"/>
      <c r="BI239" s="35"/>
      <c r="BJ239" s="56"/>
      <c r="BK239" s="47"/>
      <c r="BL239" s="234"/>
      <c r="BM239" s="234"/>
      <c r="BN239" s="234"/>
      <c r="BO239" s="234"/>
      <c r="BP239" s="234"/>
      <c r="BQ239" s="227"/>
      <c r="BR239" s="227"/>
      <c r="BS239" s="227"/>
      <c r="BT239" s="227"/>
      <c r="BU239" s="227"/>
      <c r="CA239" s="530"/>
      <c r="CB239" s="531"/>
      <c r="CC239" s="531"/>
      <c r="CD239" s="531"/>
      <c r="CE239" s="531"/>
      <c r="CF239" s="532"/>
      <c r="CG239" s="530"/>
      <c r="CH239" s="531"/>
      <c r="CI239" s="531"/>
      <c r="CJ239" s="531"/>
      <c r="CK239" s="531"/>
      <c r="CL239" s="532"/>
      <c r="CM239" s="530"/>
      <c r="CN239" s="531"/>
      <c r="CO239" s="531"/>
      <c r="CP239" s="531"/>
      <c r="CQ239" s="531"/>
      <c r="CR239" s="532"/>
      <c r="CS239" s="530"/>
      <c r="CT239" s="531"/>
      <c r="CU239" s="531"/>
      <c r="CV239" s="531"/>
      <c r="CW239" s="531"/>
      <c r="CX239" s="532"/>
      <c r="CY239" s="530"/>
      <c r="CZ239" s="531"/>
      <c r="DA239" s="531"/>
      <c r="DB239" s="531"/>
      <c r="DC239" s="531"/>
      <c r="DD239" s="532"/>
    </row>
    <row r="240" spans="1:108" x14ac:dyDescent="0.2">
      <c r="A240" s="1" t="s">
        <v>173</v>
      </c>
      <c r="C240" s="211" t="s">
        <v>11</v>
      </c>
      <c r="D240" s="517"/>
      <c r="E240" s="518"/>
      <c r="F240" s="518"/>
      <c r="G240" s="518"/>
      <c r="H240" s="518"/>
      <c r="I240" s="519"/>
      <c r="J240" s="221"/>
      <c r="K240" s="9"/>
      <c r="L240" s="27"/>
      <c r="M240" s="12"/>
      <c r="N240" s="9"/>
      <c r="O240" s="27"/>
      <c r="P240" s="84"/>
      <c r="T240" s="227"/>
      <c r="U240" s="227"/>
      <c r="V240" s="227"/>
      <c r="W240" s="227"/>
      <c r="X240" s="227"/>
      <c r="Y240" s="227"/>
      <c r="Z240" s="227"/>
      <c r="AA240" s="35"/>
      <c r="AB240" s="35"/>
      <c r="AC240" s="35"/>
      <c r="AD240" s="35"/>
      <c r="AE240" s="35"/>
      <c r="AF240" s="227"/>
      <c r="AG240" s="35"/>
      <c r="AH240" s="35"/>
      <c r="AI240" s="35"/>
      <c r="AJ240" s="35"/>
      <c r="AK240" s="227"/>
      <c r="AL240" s="35"/>
      <c r="AM240" s="35"/>
      <c r="AN240" s="35"/>
      <c r="AO240" s="35"/>
      <c r="AP240" s="227"/>
      <c r="AQ240" s="35"/>
      <c r="AR240" s="35"/>
      <c r="AS240" s="35"/>
      <c r="AT240" s="35"/>
      <c r="AU240" s="227"/>
      <c r="AV240" s="35"/>
      <c r="AW240" s="35"/>
      <c r="AX240" s="35"/>
      <c r="AY240" s="35"/>
      <c r="AZ240" s="227"/>
      <c r="BA240" s="35"/>
      <c r="BB240" s="35"/>
      <c r="BC240" s="35"/>
      <c r="BD240" s="35"/>
      <c r="BE240" s="227"/>
      <c r="BF240" s="227"/>
      <c r="BG240" s="227"/>
      <c r="BH240" s="35"/>
      <c r="BI240" s="35"/>
      <c r="BJ240" s="56"/>
      <c r="BK240" s="47"/>
      <c r="BL240" s="234"/>
      <c r="BM240" s="234"/>
      <c r="BN240" s="234"/>
      <c r="BO240" s="234"/>
      <c r="BP240" s="234"/>
      <c r="BQ240" s="227"/>
      <c r="BR240" s="227"/>
      <c r="BS240" s="227"/>
      <c r="BT240" s="227"/>
      <c r="BU240" s="227"/>
      <c r="CA240" s="517"/>
      <c r="CB240" s="518"/>
      <c r="CC240" s="518"/>
      <c r="CD240" s="518"/>
      <c r="CE240" s="518"/>
      <c r="CF240" s="519"/>
      <c r="CG240" s="517"/>
      <c r="CH240" s="518"/>
      <c r="CI240" s="518"/>
      <c r="CJ240" s="518"/>
      <c r="CK240" s="518"/>
      <c r="CL240" s="519"/>
      <c r="CM240" s="517"/>
      <c r="CN240" s="518"/>
      <c r="CO240" s="518"/>
      <c r="CP240" s="518"/>
      <c r="CQ240" s="518"/>
      <c r="CR240" s="519"/>
      <c r="CS240" s="517"/>
      <c r="CT240" s="518"/>
      <c r="CU240" s="518"/>
      <c r="CV240" s="518"/>
      <c r="CW240" s="518"/>
      <c r="CX240" s="519"/>
      <c r="CY240" s="517"/>
      <c r="CZ240" s="518"/>
      <c r="DA240" s="518"/>
      <c r="DB240" s="518"/>
      <c r="DC240" s="518"/>
      <c r="DD240" s="519"/>
    </row>
    <row r="241" spans="1:108" ht="15" x14ac:dyDescent="0.25">
      <c r="A241" s="49"/>
      <c r="B241" s="33">
        <v>61</v>
      </c>
      <c r="C241" s="212" t="s">
        <v>321</v>
      </c>
      <c r="D241" s="527" t="s">
        <v>395</v>
      </c>
      <c r="E241" s="528"/>
      <c r="F241" s="528"/>
      <c r="G241" s="528"/>
      <c r="H241" s="528"/>
      <c r="I241" s="529"/>
      <c r="J241" s="221">
        <f t="shared" ref="J241:O246" si="272">J161</f>
        <v>300.15450000134933</v>
      </c>
      <c r="K241" s="9">
        <f t="shared" si="272"/>
        <v>51.00524999999152</v>
      </c>
      <c r="L241" s="27">
        <f t="shared" si="272"/>
        <v>172.51875000090422</v>
      </c>
      <c r="M241" s="12">
        <f t="shared" si="272"/>
        <v>2875.9747499978403</v>
      </c>
      <c r="N241" s="9">
        <f t="shared" si="272"/>
        <v>18.256500000069309</v>
      </c>
      <c r="O241" s="27">
        <f t="shared" si="272"/>
        <v>23.166000000071563</v>
      </c>
      <c r="T241" s="227"/>
      <c r="U241" s="227"/>
      <c r="V241" s="227"/>
      <c r="W241" s="227"/>
      <c r="X241" s="227"/>
      <c r="Y241" s="227"/>
      <c r="Z241" s="227"/>
      <c r="AA241" s="35"/>
      <c r="AB241" s="35"/>
      <c r="AC241" s="35"/>
      <c r="AD241" s="35"/>
      <c r="AE241" s="35"/>
      <c r="AF241" s="227"/>
      <c r="AG241" s="35"/>
      <c r="AH241" s="35"/>
      <c r="AI241" s="35"/>
      <c r="AJ241" s="35"/>
      <c r="AK241" s="227"/>
      <c r="AL241" s="35"/>
      <c r="AM241" s="35"/>
      <c r="AN241" s="35"/>
      <c r="AO241" s="35"/>
      <c r="AP241" s="227"/>
      <c r="AQ241" s="35"/>
      <c r="AR241" s="35"/>
      <c r="AS241" s="35"/>
      <c r="AT241" s="35"/>
      <c r="AU241" s="227"/>
      <c r="AV241" s="35"/>
      <c r="AW241" s="35"/>
      <c r="AX241" s="35"/>
      <c r="AY241" s="35"/>
      <c r="AZ241" s="227"/>
      <c r="BA241" s="35"/>
      <c r="BB241" s="35"/>
      <c r="BC241" s="35"/>
      <c r="BD241" s="35"/>
      <c r="BE241" s="227"/>
      <c r="BF241" s="227"/>
      <c r="BG241" s="227"/>
      <c r="BH241" s="35"/>
      <c r="BI241" s="35"/>
      <c r="BJ241" s="56"/>
      <c r="BK241" s="47"/>
      <c r="BL241" s="234"/>
      <c r="BM241" s="234"/>
      <c r="BN241" s="234"/>
      <c r="BO241" s="234"/>
      <c r="BP241" s="234"/>
      <c r="BQ241" s="227"/>
      <c r="BR241" s="227"/>
      <c r="BS241" s="227"/>
      <c r="BT241" s="227"/>
      <c r="BU241" s="227"/>
      <c r="CA241" s="527" t="s">
        <v>395</v>
      </c>
      <c r="CB241" s="528"/>
      <c r="CC241" s="528"/>
      <c r="CD241" s="528"/>
      <c r="CE241" s="528"/>
      <c r="CF241" s="529"/>
      <c r="CG241" s="527" t="s">
        <v>395</v>
      </c>
      <c r="CH241" s="528"/>
      <c r="CI241" s="528"/>
      <c r="CJ241" s="528"/>
      <c r="CK241" s="528"/>
      <c r="CL241" s="529"/>
      <c r="CM241" s="527" t="s">
        <v>527</v>
      </c>
      <c r="CN241" s="528"/>
      <c r="CO241" s="528"/>
      <c r="CP241" s="528"/>
      <c r="CQ241" s="528"/>
      <c r="CR241" s="529"/>
      <c r="CS241" s="527" t="s">
        <v>527</v>
      </c>
      <c r="CT241" s="528"/>
      <c r="CU241" s="528"/>
      <c r="CV241" s="528"/>
      <c r="CW241" s="528"/>
      <c r="CX241" s="529"/>
      <c r="CY241" s="527"/>
      <c r="CZ241" s="528"/>
      <c r="DA241" s="528"/>
      <c r="DB241" s="528"/>
      <c r="DC241" s="528"/>
      <c r="DD241" s="529"/>
    </row>
    <row r="242" spans="1:108" ht="15" x14ac:dyDescent="0.25">
      <c r="A242" s="49"/>
      <c r="B242" s="33">
        <v>62</v>
      </c>
      <c r="C242" s="212" t="s">
        <v>322</v>
      </c>
      <c r="D242" s="527" t="s">
        <v>374</v>
      </c>
      <c r="E242" s="528"/>
      <c r="F242" s="528"/>
      <c r="G242" s="528"/>
      <c r="H242" s="528"/>
      <c r="I242" s="529"/>
      <c r="J242" s="221">
        <f t="shared" si="272"/>
        <v>0</v>
      </c>
      <c r="K242" s="9">
        <f t="shared" si="272"/>
        <v>0</v>
      </c>
      <c r="L242" s="27">
        <f t="shared" si="272"/>
        <v>0</v>
      </c>
      <c r="M242" s="12">
        <f t="shared" si="272"/>
        <v>0</v>
      </c>
      <c r="N242" s="9">
        <f t="shared" si="272"/>
        <v>0</v>
      </c>
      <c r="O242" s="27">
        <f t="shared" si="272"/>
        <v>0</v>
      </c>
      <c r="T242" s="227"/>
      <c r="U242" s="227"/>
      <c r="V242" s="227"/>
      <c r="W242" s="227"/>
      <c r="X242" s="227"/>
      <c r="Y242" s="227"/>
      <c r="Z242" s="227"/>
      <c r="AA242" s="35"/>
      <c r="AB242" s="35"/>
      <c r="AC242" s="35"/>
      <c r="AD242" s="35"/>
      <c r="AE242" s="35"/>
      <c r="AF242" s="227"/>
      <c r="AG242" s="35"/>
      <c r="AH242" s="35"/>
      <c r="AI242" s="35"/>
      <c r="AJ242" s="35"/>
      <c r="AK242" s="227"/>
      <c r="AL242" s="35"/>
      <c r="AM242" s="35"/>
      <c r="AN242" s="35"/>
      <c r="AO242" s="35"/>
      <c r="AP242" s="227"/>
      <c r="AQ242" s="35"/>
      <c r="AR242" s="35"/>
      <c r="AS242" s="35"/>
      <c r="AT242" s="35"/>
      <c r="AU242" s="227"/>
      <c r="AV242" s="35"/>
      <c r="AW242" s="35"/>
      <c r="AX242" s="35"/>
      <c r="AY242" s="35"/>
      <c r="AZ242" s="227"/>
      <c r="BA242" s="35"/>
      <c r="BB242" s="35"/>
      <c r="BC242" s="35"/>
      <c r="BD242" s="35"/>
      <c r="BE242" s="227"/>
      <c r="BF242" s="227"/>
      <c r="BG242" s="227"/>
      <c r="BH242" s="35"/>
      <c r="BI242" s="35"/>
      <c r="BJ242" s="56"/>
      <c r="BK242" s="47"/>
      <c r="BL242" s="234"/>
      <c r="BM242" s="234"/>
      <c r="BN242" s="234"/>
      <c r="BO242" s="234"/>
      <c r="BP242" s="234"/>
      <c r="BQ242" s="227"/>
      <c r="BR242" s="227"/>
      <c r="BS242" s="227"/>
      <c r="BT242" s="227"/>
      <c r="BU242" s="227"/>
      <c r="CA242" s="527" t="s">
        <v>374</v>
      </c>
      <c r="CB242" s="528"/>
      <c r="CC242" s="528"/>
      <c r="CD242" s="528"/>
      <c r="CE242" s="528"/>
      <c r="CF242" s="529"/>
      <c r="CG242" s="527" t="s">
        <v>374</v>
      </c>
      <c r="CH242" s="528"/>
      <c r="CI242" s="528"/>
      <c r="CJ242" s="528"/>
      <c r="CK242" s="528"/>
      <c r="CL242" s="529"/>
      <c r="CM242" s="527" t="s">
        <v>528</v>
      </c>
      <c r="CN242" s="528"/>
      <c r="CO242" s="528"/>
      <c r="CP242" s="528"/>
      <c r="CQ242" s="528"/>
      <c r="CR242" s="529"/>
      <c r="CS242" s="527" t="s">
        <v>528</v>
      </c>
      <c r="CT242" s="528"/>
      <c r="CU242" s="528"/>
      <c r="CV242" s="528"/>
      <c r="CW242" s="528"/>
      <c r="CX242" s="529"/>
      <c r="CY242" s="527"/>
      <c r="CZ242" s="528"/>
      <c r="DA242" s="528"/>
      <c r="DB242" s="528"/>
      <c r="DC242" s="528"/>
      <c r="DD242" s="529"/>
    </row>
    <row r="243" spans="1:108" ht="15" x14ac:dyDescent="0.25">
      <c r="A243" s="49"/>
      <c r="B243" s="33">
        <v>63</v>
      </c>
      <c r="C243" s="212" t="s">
        <v>323</v>
      </c>
      <c r="D243" s="527" t="s">
        <v>381</v>
      </c>
      <c r="E243" s="528"/>
      <c r="F243" s="528"/>
      <c r="G243" s="528"/>
      <c r="H243" s="528"/>
      <c r="I243" s="529"/>
      <c r="J243" s="221">
        <f t="shared" si="272"/>
        <v>4659.1393800001242</v>
      </c>
      <c r="K243" s="9">
        <f t="shared" si="272"/>
        <v>690.84277499974291</v>
      </c>
      <c r="L243" s="27">
        <f t="shared" si="272"/>
        <v>1521.1009800000738</v>
      </c>
      <c r="M243" s="12">
        <f t="shared" si="272"/>
        <v>24433.618575000764</v>
      </c>
      <c r="N243" s="9">
        <f t="shared" si="272"/>
        <v>207.19885499995598</v>
      </c>
      <c r="O243" s="27">
        <f t="shared" si="272"/>
        <v>1309.9724789996628</v>
      </c>
      <c r="T243" s="227"/>
      <c r="U243" s="227"/>
      <c r="V243" s="227"/>
      <c r="W243" s="227"/>
      <c r="X243" s="227"/>
      <c r="Y243" s="227"/>
      <c r="Z243" s="227"/>
      <c r="AA243" s="35"/>
      <c r="AB243" s="35"/>
      <c r="AC243" s="35"/>
      <c r="AD243" s="35"/>
      <c r="AE243" s="35"/>
      <c r="AF243" s="227"/>
      <c r="AG243" s="35"/>
      <c r="AH243" s="35"/>
      <c r="AI243" s="35"/>
      <c r="AJ243" s="35"/>
      <c r="AK243" s="227"/>
      <c r="AL243" s="35"/>
      <c r="AM243" s="35"/>
      <c r="AN243" s="35"/>
      <c r="AO243" s="35"/>
      <c r="AP243" s="227"/>
      <c r="AQ243" s="35"/>
      <c r="AR243" s="35"/>
      <c r="AS243" s="35"/>
      <c r="AT243" s="35"/>
      <c r="AU243" s="227"/>
      <c r="AV243" s="35"/>
      <c r="AW243" s="35"/>
      <c r="AX243" s="35"/>
      <c r="AY243" s="35"/>
      <c r="AZ243" s="227"/>
      <c r="BA243" s="35"/>
      <c r="BB243" s="35"/>
      <c r="BC243" s="35"/>
      <c r="BD243" s="35"/>
      <c r="BE243" s="227"/>
      <c r="BF243" s="227"/>
      <c r="BG243" s="227"/>
      <c r="BH243" s="35"/>
      <c r="BI243" s="35"/>
      <c r="BJ243" s="56"/>
      <c r="BK243" s="47"/>
      <c r="BL243" s="234"/>
      <c r="BM243" s="234"/>
      <c r="BN243" s="234"/>
      <c r="BO243" s="234"/>
      <c r="BP243" s="234"/>
      <c r="BQ243" s="227"/>
      <c r="BR243" s="227"/>
      <c r="BS243" s="227"/>
      <c r="BT243" s="227"/>
      <c r="BU243" s="227"/>
      <c r="CA243" s="527" t="s">
        <v>381</v>
      </c>
      <c r="CB243" s="528"/>
      <c r="CC243" s="528"/>
      <c r="CD243" s="528"/>
      <c r="CE243" s="528"/>
      <c r="CF243" s="529"/>
      <c r="CG243" s="527" t="s">
        <v>381</v>
      </c>
      <c r="CH243" s="528"/>
      <c r="CI243" s="528"/>
      <c r="CJ243" s="528"/>
      <c r="CK243" s="528"/>
      <c r="CL243" s="529"/>
      <c r="CM243" s="527" t="s">
        <v>529</v>
      </c>
      <c r="CN243" s="528"/>
      <c r="CO243" s="528"/>
      <c r="CP243" s="528"/>
      <c r="CQ243" s="528"/>
      <c r="CR243" s="529"/>
      <c r="CS243" s="527" t="s">
        <v>529</v>
      </c>
      <c r="CT243" s="528"/>
      <c r="CU243" s="528"/>
      <c r="CV243" s="528"/>
      <c r="CW243" s="528"/>
      <c r="CX243" s="529"/>
      <c r="CY243" s="527"/>
      <c r="CZ243" s="528"/>
      <c r="DA243" s="528"/>
      <c r="DB243" s="528"/>
      <c r="DC243" s="528"/>
      <c r="DD243" s="529"/>
    </row>
    <row r="244" spans="1:108" ht="15" x14ac:dyDescent="0.25">
      <c r="A244" s="49"/>
      <c r="B244" s="33">
        <v>64</v>
      </c>
      <c r="C244" s="212" t="s">
        <v>324</v>
      </c>
      <c r="D244" s="527" t="s">
        <v>381</v>
      </c>
      <c r="E244" s="528"/>
      <c r="F244" s="528"/>
      <c r="G244" s="528"/>
      <c r="H244" s="528"/>
      <c r="I244" s="529"/>
      <c r="J244" s="221">
        <f t="shared" si="272"/>
        <v>657.4548750005988</v>
      </c>
      <c r="K244" s="9">
        <f t="shared" si="272"/>
        <v>65.127000000131829</v>
      </c>
      <c r="L244" s="27">
        <f t="shared" si="272"/>
        <v>192.53400000025067</v>
      </c>
      <c r="M244" s="12">
        <f t="shared" si="272"/>
        <v>3587.239125000815</v>
      </c>
      <c r="N244" s="9">
        <f t="shared" si="272"/>
        <v>19.618874999980562</v>
      </c>
      <c r="O244" s="27">
        <f t="shared" si="272"/>
        <v>58.905000000015661</v>
      </c>
      <c r="T244" s="227"/>
      <c r="U244" s="227"/>
      <c r="V244" s="227"/>
      <c r="W244" s="227"/>
      <c r="X244" s="227"/>
      <c r="Y244" s="227"/>
      <c r="Z244" s="227"/>
      <c r="AA244" s="35"/>
      <c r="AB244" s="35"/>
      <c r="AC244" s="35"/>
      <c r="AD244" s="35"/>
      <c r="AE244" s="35"/>
      <c r="AF244" s="227"/>
      <c r="AG244" s="35"/>
      <c r="AH244" s="35"/>
      <c r="AI244" s="35"/>
      <c r="AJ244" s="35"/>
      <c r="AK244" s="227"/>
      <c r="AL244" s="35"/>
      <c r="AM244" s="35"/>
      <c r="AN244" s="35"/>
      <c r="AO244" s="35"/>
      <c r="AP244" s="227"/>
      <c r="AQ244" s="35"/>
      <c r="AR244" s="35"/>
      <c r="AS244" s="35"/>
      <c r="AT244" s="35"/>
      <c r="AU244" s="227"/>
      <c r="AV244" s="35"/>
      <c r="AW244" s="35"/>
      <c r="AX244" s="35"/>
      <c r="AY244" s="35"/>
      <c r="AZ244" s="227"/>
      <c r="BA244" s="35"/>
      <c r="BB244" s="35"/>
      <c r="BC244" s="35"/>
      <c r="BD244" s="35"/>
      <c r="BE244" s="227"/>
      <c r="BF244" s="227"/>
      <c r="BG244" s="227"/>
      <c r="BH244" s="35"/>
      <c r="BI244" s="35"/>
      <c r="BJ244" s="56"/>
      <c r="BK244" s="47"/>
      <c r="BL244" s="234"/>
      <c r="BM244" s="234"/>
      <c r="BN244" s="234"/>
      <c r="BO244" s="234"/>
      <c r="BP244" s="234"/>
      <c r="BQ244" s="227"/>
      <c r="BR244" s="227"/>
      <c r="BS244" s="227"/>
      <c r="BT244" s="227"/>
      <c r="BU244" s="227"/>
      <c r="CA244" s="527" t="s">
        <v>381</v>
      </c>
      <c r="CB244" s="528"/>
      <c r="CC244" s="528"/>
      <c r="CD244" s="528"/>
      <c r="CE244" s="528"/>
      <c r="CF244" s="529"/>
      <c r="CG244" s="527" t="s">
        <v>381</v>
      </c>
      <c r="CH244" s="528"/>
      <c r="CI244" s="528"/>
      <c r="CJ244" s="528"/>
      <c r="CK244" s="528"/>
      <c r="CL244" s="529"/>
      <c r="CM244" s="527" t="s">
        <v>530</v>
      </c>
      <c r="CN244" s="528"/>
      <c r="CO244" s="528"/>
      <c r="CP244" s="528"/>
      <c r="CQ244" s="528"/>
      <c r="CR244" s="529"/>
      <c r="CS244" s="527" t="s">
        <v>530</v>
      </c>
      <c r="CT244" s="528"/>
      <c r="CU244" s="528"/>
      <c r="CV244" s="528"/>
      <c r="CW244" s="528"/>
      <c r="CX244" s="529"/>
      <c r="CY244" s="527"/>
      <c r="CZ244" s="528"/>
      <c r="DA244" s="528"/>
      <c r="DB244" s="528"/>
      <c r="DC244" s="528"/>
      <c r="DD244" s="529"/>
    </row>
    <row r="245" spans="1:108" ht="15" x14ac:dyDescent="0.25">
      <c r="A245" s="49"/>
      <c r="B245" s="33">
        <v>65</v>
      </c>
      <c r="C245" s="212" t="s">
        <v>325</v>
      </c>
      <c r="D245" s="527" t="s">
        <v>450</v>
      </c>
      <c r="E245" s="528"/>
      <c r="F245" s="528"/>
      <c r="G245" s="528"/>
      <c r="H245" s="528"/>
      <c r="I245" s="529"/>
      <c r="J245" s="221">
        <f t="shared" si="272"/>
        <v>206.75400000015998</v>
      </c>
      <c r="K245" s="9">
        <f t="shared" si="272"/>
        <v>35.151749999977255</v>
      </c>
      <c r="L245" s="27">
        <f t="shared" si="272"/>
        <v>118.84274999999889</v>
      </c>
      <c r="M245" s="12">
        <f t="shared" si="272"/>
        <v>1981.3117499994405</v>
      </c>
      <c r="N245" s="9">
        <f t="shared" si="272"/>
        <v>12.584249999980557</v>
      </c>
      <c r="O245" s="27">
        <f t="shared" si="272"/>
        <v>26.774999999997817</v>
      </c>
      <c r="T245" s="227"/>
      <c r="U245" s="227"/>
      <c r="V245" s="227"/>
      <c r="W245" s="227"/>
      <c r="X245" s="227"/>
      <c r="Y245" s="227"/>
      <c r="Z245" s="227"/>
      <c r="AA245" s="35"/>
      <c r="AB245" s="35"/>
      <c r="AC245" s="35"/>
      <c r="AD245" s="35"/>
      <c r="AE245" s="35"/>
      <c r="AF245" s="227"/>
      <c r="AG245" s="35"/>
      <c r="AH245" s="35"/>
      <c r="AI245" s="35"/>
      <c r="AJ245" s="35"/>
      <c r="AK245" s="227"/>
      <c r="AL245" s="35"/>
      <c r="AM245" s="35"/>
      <c r="AN245" s="35"/>
      <c r="AO245" s="35"/>
      <c r="AP245" s="227"/>
      <c r="AQ245" s="35"/>
      <c r="AR245" s="35"/>
      <c r="AS245" s="35"/>
      <c r="AT245" s="35"/>
      <c r="AU245" s="227"/>
      <c r="AV245" s="35"/>
      <c r="AW245" s="35"/>
      <c r="AX245" s="35"/>
      <c r="AY245" s="35"/>
      <c r="AZ245" s="227"/>
      <c r="BA245" s="35"/>
      <c r="BB245" s="35"/>
      <c r="BC245" s="35"/>
      <c r="BD245" s="35"/>
      <c r="BE245" s="227"/>
      <c r="BF245" s="227"/>
      <c r="BG245" s="227"/>
      <c r="BH245" s="35"/>
      <c r="BI245" s="35"/>
      <c r="BJ245" s="56"/>
      <c r="BK245" s="47"/>
      <c r="BL245" s="234"/>
      <c r="BM245" s="234"/>
      <c r="BN245" s="234"/>
      <c r="BO245" s="234"/>
      <c r="BP245" s="234"/>
      <c r="BQ245" s="227"/>
      <c r="BR245" s="227"/>
      <c r="BS245" s="227"/>
      <c r="BT245" s="227"/>
      <c r="BU245" s="227"/>
      <c r="CA245" s="527" t="s">
        <v>450</v>
      </c>
      <c r="CB245" s="528"/>
      <c r="CC245" s="528"/>
      <c r="CD245" s="528"/>
      <c r="CE245" s="528"/>
      <c r="CF245" s="529"/>
      <c r="CG245" s="527" t="s">
        <v>450</v>
      </c>
      <c r="CH245" s="528"/>
      <c r="CI245" s="528"/>
      <c r="CJ245" s="528"/>
      <c r="CK245" s="528"/>
      <c r="CL245" s="529"/>
      <c r="CM245" s="527" t="s">
        <v>531</v>
      </c>
      <c r="CN245" s="528"/>
      <c r="CO245" s="528"/>
      <c r="CP245" s="528"/>
      <c r="CQ245" s="528"/>
      <c r="CR245" s="529"/>
      <c r="CS245" s="527" t="s">
        <v>531</v>
      </c>
      <c r="CT245" s="528"/>
      <c r="CU245" s="528"/>
      <c r="CV245" s="528"/>
      <c r="CW245" s="528"/>
      <c r="CX245" s="529"/>
      <c r="CY245" s="527"/>
      <c r="CZ245" s="528"/>
      <c r="DA245" s="528"/>
      <c r="DB245" s="528"/>
      <c r="DC245" s="528"/>
      <c r="DD245" s="529"/>
    </row>
    <row r="246" spans="1:108" ht="15" x14ac:dyDescent="0.25">
      <c r="A246" s="49"/>
      <c r="B246" s="33">
        <v>67</v>
      </c>
      <c r="C246" s="212" t="s">
        <v>330</v>
      </c>
      <c r="D246" s="527" t="s">
        <v>374</v>
      </c>
      <c r="E246" s="528"/>
      <c r="F246" s="528"/>
      <c r="G246" s="528"/>
      <c r="H246" s="528"/>
      <c r="I246" s="529"/>
      <c r="J246" s="221">
        <f t="shared" si="272"/>
        <v>0</v>
      </c>
      <c r="K246" s="9">
        <f t="shared" si="272"/>
        <v>0</v>
      </c>
      <c r="L246" s="27">
        <f t="shared" si="272"/>
        <v>0</v>
      </c>
      <c r="M246" s="12">
        <f t="shared" si="272"/>
        <v>0</v>
      </c>
      <c r="N246" s="9">
        <f t="shared" si="272"/>
        <v>0</v>
      </c>
      <c r="O246" s="27">
        <f t="shared" si="272"/>
        <v>0</v>
      </c>
      <c r="T246" s="227"/>
      <c r="U246" s="227"/>
      <c r="V246" s="227"/>
      <c r="W246" s="227"/>
      <c r="X246" s="227"/>
      <c r="Y246" s="227"/>
      <c r="Z246" s="227"/>
      <c r="AA246" s="35"/>
      <c r="AB246" s="35"/>
      <c r="AC246" s="35"/>
      <c r="AD246" s="35"/>
      <c r="AE246" s="35"/>
      <c r="AF246" s="227"/>
      <c r="AG246" s="35"/>
      <c r="AH246" s="35"/>
      <c r="AI246" s="35"/>
      <c r="AJ246" s="35"/>
      <c r="AK246" s="227"/>
      <c r="AL246" s="35"/>
      <c r="AM246" s="35"/>
      <c r="AN246" s="35"/>
      <c r="AO246" s="35"/>
      <c r="AP246" s="227"/>
      <c r="AQ246" s="35"/>
      <c r="AR246" s="35"/>
      <c r="AS246" s="35"/>
      <c r="AT246" s="35"/>
      <c r="AU246" s="227"/>
      <c r="AV246" s="35"/>
      <c r="AW246" s="35"/>
      <c r="AX246" s="35"/>
      <c r="AY246" s="35"/>
      <c r="AZ246" s="227"/>
      <c r="BA246" s="35"/>
      <c r="BB246" s="35"/>
      <c r="BC246" s="35"/>
      <c r="BD246" s="35"/>
      <c r="BE246" s="227"/>
      <c r="BF246" s="227"/>
      <c r="BG246" s="227"/>
      <c r="BH246" s="35"/>
      <c r="BI246" s="35"/>
      <c r="BJ246" s="56"/>
      <c r="BK246" s="47"/>
      <c r="BL246" s="234"/>
      <c r="BM246" s="234"/>
      <c r="BN246" s="234"/>
      <c r="BO246" s="234"/>
      <c r="BP246" s="234"/>
      <c r="BQ246" s="227"/>
      <c r="BR246" s="227"/>
      <c r="BS246" s="227"/>
      <c r="BT246" s="227"/>
      <c r="BU246" s="227"/>
      <c r="CA246" s="527" t="s">
        <v>374</v>
      </c>
      <c r="CB246" s="528"/>
      <c r="CC246" s="528"/>
      <c r="CD246" s="528"/>
      <c r="CE246" s="528"/>
      <c r="CF246" s="529"/>
      <c r="CG246" s="527" t="s">
        <v>374</v>
      </c>
      <c r="CH246" s="528"/>
      <c r="CI246" s="528"/>
      <c r="CJ246" s="528"/>
      <c r="CK246" s="528"/>
      <c r="CL246" s="529"/>
      <c r="CM246" s="527" t="s">
        <v>532</v>
      </c>
      <c r="CN246" s="528"/>
      <c r="CO246" s="528"/>
      <c r="CP246" s="528"/>
      <c r="CQ246" s="528"/>
      <c r="CR246" s="529"/>
      <c r="CS246" s="527" t="s">
        <v>532</v>
      </c>
      <c r="CT246" s="528"/>
      <c r="CU246" s="528"/>
      <c r="CV246" s="528"/>
      <c r="CW246" s="528"/>
      <c r="CX246" s="529"/>
      <c r="CY246" s="527"/>
      <c r="CZ246" s="528"/>
      <c r="DA246" s="528"/>
      <c r="DB246" s="528"/>
      <c r="DC246" s="528"/>
      <c r="DD246" s="529"/>
    </row>
    <row r="247" spans="1:108" x14ac:dyDescent="0.2">
      <c r="A247" s="1" t="s">
        <v>174</v>
      </c>
      <c r="C247" s="211" t="s">
        <v>12</v>
      </c>
      <c r="D247" s="506"/>
      <c r="E247" s="493"/>
      <c r="F247" s="493"/>
      <c r="G247" s="493"/>
      <c r="H247" s="493"/>
      <c r="I247" s="508"/>
      <c r="J247" s="221"/>
      <c r="K247" s="9"/>
      <c r="L247" s="27"/>
      <c r="M247" s="12"/>
      <c r="N247" s="9"/>
      <c r="O247" s="27"/>
      <c r="P247" s="84"/>
      <c r="T247" s="227"/>
      <c r="U247" s="227"/>
      <c r="V247" s="227"/>
      <c r="W247" s="227"/>
      <c r="X247" s="227"/>
      <c r="Y247" s="227"/>
      <c r="Z247" s="227"/>
      <c r="AA247" s="35"/>
      <c r="AB247" s="35"/>
      <c r="AC247" s="35"/>
      <c r="AD247" s="35"/>
      <c r="AE247" s="35"/>
      <c r="AF247" s="227"/>
      <c r="AG247" s="35"/>
      <c r="AH247" s="35"/>
      <c r="AI247" s="35"/>
      <c r="AJ247" s="35"/>
      <c r="AK247" s="227"/>
      <c r="AL247" s="35"/>
      <c r="AM247" s="35"/>
      <c r="AN247" s="35"/>
      <c r="AO247" s="35"/>
      <c r="AP247" s="227"/>
      <c r="AQ247" s="35"/>
      <c r="AR247" s="35"/>
      <c r="AS247" s="35"/>
      <c r="AT247" s="35"/>
      <c r="AU247" s="227"/>
      <c r="AV247" s="35"/>
      <c r="AW247" s="35"/>
      <c r="AX247" s="35"/>
      <c r="AY247" s="35"/>
      <c r="AZ247" s="227"/>
      <c r="BA247" s="35"/>
      <c r="BB247" s="35"/>
      <c r="BC247" s="35"/>
      <c r="BD247" s="35"/>
      <c r="BE247" s="227"/>
      <c r="BF247" s="227"/>
      <c r="BG247" s="227"/>
      <c r="BH247" s="35"/>
      <c r="BI247" s="35"/>
      <c r="BJ247" s="56"/>
      <c r="BK247" s="47"/>
      <c r="BL247" s="234"/>
      <c r="BM247" s="234"/>
      <c r="BN247" s="234"/>
      <c r="BO247" s="234"/>
      <c r="BP247" s="234"/>
      <c r="BQ247" s="227"/>
      <c r="BR247" s="227"/>
      <c r="BS247" s="227"/>
      <c r="BT247" s="227"/>
      <c r="BU247" s="227"/>
      <c r="CA247" s="506"/>
      <c r="CB247" s="493"/>
      <c r="CC247" s="493"/>
      <c r="CD247" s="493"/>
      <c r="CE247" s="493"/>
      <c r="CF247" s="508"/>
      <c r="CG247" s="506"/>
      <c r="CH247" s="493"/>
      <c r="CI247" s="493"/>
      <c r="CJ247" s="493"/>
      <c r="CK247" s="493"/>
      <c r="CL247" s="508"/>
      <c r="CM247" s="506"/>
      <c r="CN247" s="493"/>
      <c r="CO247" s="493"/>
      <c r="CP247" s="493"/>
      <c r="CQ247" s="493"/>
      <c r="CR247" s="508"/>
      <c r="CS247" s="506"/>
      <c r="CT247" s="493"/>
      <c r="CU247" s="493"/>
      <c r="CV247" s="493"/>
      <c r="CW247" s="493"/>
      <c r="CX247" s="508"/>
      <c r="CY247" s="506"/>
      <c r="CZ247" s="493"/>
      <c r="DA247" s="493"/>
      <c r="DB247" s="493"/>
      <c r="DC247" s="493"/>
      <c r="DD247" s="508"/>
    </row>
    <row r="248" spans="1:108" ht="15" x14ac:dyDescent="0.25">
      <c r="A248" s="49"/>
      <c r="B248" s="33">
        <v>66</v>
      </c>
      <c r="C248" s="212" t="s">
        <v>57</v>
      </c>
      <c r="D248" s="527" t="s">
        <v>374</v>
      </c>
      <c r="E248" s="528"/>
      <c r="F248" s="528"/>
      <c r="G248" s="528"/>
      <c r="H248" s="528"/>
      <c r="I248" s="529"/>
      <c r="J248" s="221">
        <f t="shared" ref="J248:O248" si="273">J168</f>
        <v>0</v>
      </c>
      <c r="K248" s="9">
        <f t="shared" si="273"/>
        <v>0</v>
      </c>
      <c r="L248" s="27">
        <f t="shared" si="273"/>
        <v>0</v>
      </c>
      <c r="M248" s="12">
        <f t="shared" si="273"/>
        <v>0</v>
      </c>
      <c r="N248" s="9">
        <f t="shared" si="273"/>
        <v>0</v>
      </c>
      <c r="O248" s="27">
        <f t="shared" si="273"/>
        <v>0</v>
      </c>
      <c r="T248" s="227"/>
      <c r="U248" s="227"/>
      <c r="V248" s="227"/>
      <c r="W248" s="227"/>
      <c r="X248" s="227"/>
      <c r="Y248" s="227"/>
      <c r="Z248" s="227"/>
      <c r="AA248" s="35"/>
      <c r="AB248" s="35"/>
      <c r="AC248" s="35"/>
      <c r="AD248" s="35"/>
      <c r="AE248" s="35"/>
      <c r="AF248" s="227"/>
      <c r="AG248" s="35"/>
      <c r="AH248" s="35"/>
      <c r="AI248" s="35"/>
      <c r="AJ248" s="35"/>
      <c r="AK248" s="227"/>
      <c r="AL248" s="35"/>
      <c r="AM248" s="35"/>
      <c r="AN248" s="35"/>
      <c r="AO248" s="35"/>
      <c r="AP248" s="227"/>
      <c r="AQ248" s="35"/>
      <c r="AR248" s="35"/>
      <c r="AS248" s="35"/>
      <c r="AT248" s="35"/>
      <c r="AU248" s="227"/>
      <c r="AV248" s="35"/>
      <c r="AW248" s="35"/>
      <c r="AX248" s="35"/>
      <c r="AY248" s="35"/>
      <c r="AZ248" s="227"/>
      <c r="BA248" s="35"/>
      <c r="BB248" s="35"/>
      <c r="BC248" s="35"/>
      <c r="BD248" s="35"/>
      <c r="BE248" s="227"/>
      <c r="BF248" s="227"/>
      <c r="BG248" s="227"/>
      <c r="BH248" s="35"/>
      <c r="BI248" s="35"/>
      <c r="BJ248" s="56"/>
      <c r="BK248" s="47"/>
      <c r="BL248" s="234"/>
      <c r="BM248" s="234"/>
      <c r="BN248" s="234"/>
      <c r="BO248" s="234"/>
      <c r="BP248" s="234"/>
      <c r="BQ248" s="227"/>
      <c r="BR248" s="227"/>
      <c r="BS248" s="227"/>
      <c r="BT248" s="227"/>
      <c r="BU248" s="227"/>
      <c r="CA248" s="527" t="s">
        <v>374</v>
      </c>
      <c r="CB248" s="528"/>
      <c r="CC248" s="528"/>
      <c r="CD248" s="528"/>
      <c r="CE248" s="528"/>
      <c r="CF248" s="529"/>
      <c r="CG248" s="527" t="s">
        <v>506</v>
      </c>
      <c r="CH248" s="528"/>
      <c r="CI248" s="528"/>
      <c r="CJ248" s="528"/>
      <c r="CK248" s="528"/>
      <c r="CL248" s="529"/>
      <c r="CM248" s="527" t="s">
        <v>506</v>
      </c>
      <c r="CN248" s="528"/>
      <c r="CO248" s="528"/>
      <c r="CP248" s="528"/>
      <c r="CQ248" s="528"/>
      <c r="CR248" s="529"/>
      <c r="CS248" s="527" t="s">
        <v>506</v>
      </c>
      <c r="CT248" s="528"/>
      <c r="CU248" s="528"/>
      <c r="CV248" s="528"/>
      <c r="CW248" s="528"/>
      <c r="CX248" s="529"/>
      <c r="CY248" s="527"/>
      <c r="CZ248" s="528"/>
      <c r="DA248" s="528"/>
      <c r="DB248" s="528"/>
      <c r="DC248" s="528"/>
      <c r="DD248" s="529"/>
    </row>
    <row r="249" spans="1:108" x14ac:dyDescent="0.2">
      <c r="C249" s="15" t="s">
        <v>235</v>
      </c>
      <c r="D249" s="498"/>
      <c r="E249" s="499"/>
      <c r="F249" s="499"/>
      <c r="G249" s="499"/>
      <c r="H249" s="499"/>
      <c r="I249" s="500"/>
      <c r="J249" s="221"/>
      <c r="K249" s="9"/>
      <c r="L249" s="27"/>
      <c r="M249" s="12"/>
      <c r="N249" s="9"/>
      <c r="O249" s="27"/>
      <c r="P249" s="84"/>
      <c r="T249" s="227"/>
      <c r="U249" s="227"/>
      <c r="V249" s="227"/>
      <c r="W249" s="227"/>
      <c r="X249" s="227"/>
      <c r="Y249" s="227"/>
      <c r="Z249" s="227"/>
      <c r="AA249" s="35"/>
      <c r="AB249" s="36"/>
      <c r="AC249" s="36"/>
      <c r="AD249" s="36"/>
      <c r="AE249" s="36"/>
      <c r="AF249" s="227"/>
      <c r="AG249" s="36"/>
      <c r="AH249" s="36"/>
      <c r="AI249" s="36"/>
      <c r="AJ249" s="36"/>
      <c r="AK249" s="227"/>
      <c r="AL249" s="36"/>
      <c r="AM249" s="36"/>
      <c r="AN249" s="36"/>
      <c r="AO249" s="36"/>
      <c r="AP249" s="227"/>
      <c r="AQ249" s="36"/>
      <c r="AR249" s="36"/>
      <c r="AS249" s="36"/>
      <c r="AT249" s="36"/>
      <c r="AU249" s="227"/>
      <c r="AV249" s="36"/>
      <c r="AW249" s="36"/>
      <c r="AX249" s="36"/>
      <c r="AY249" s="36"/>
      <c r="AZ249" s="227"/>
      <c r="BA249" s="36"/>
      <c r="BB249" s="36"/>
      <c r="BC249" s="36"/>
      <c r="BD249" s="36"/>
      <c r="BE249" s="227"/>
      <c r="BF249" s="227"/>
      <c r="BG249" s="227"/>
      <c r="BH249" s="35"/>
      <c r="BI249" s="35"/>
      <c r="BJ249" s="56"/>
      <c r="BK249" s="47"/>
      <c r="BL249" s="234"/>
      <c r="BM249" s="234"/>
      <c r="BN249" s="234"/>
      <c r="BO249" s="234"/>
      <c r="BP249" s="234"/>
      <c r="BQ249" s="227"/>
      <c r="BR249" s="227"/>
      <c r="BS249" s="227"/>
      <c r="BT249" s="227"/>
      <c r="BU249" s="227"/>
      <c r="CA249" s="498"/>
      <c r="CB249" s="499"/>
      <c r="CC249" s="499"/>
      <c r="CD249" s="499"/>
      <c r="CE249" s="499"/>
      <c r="CF249" s="500"/>
      <c r="CG249" s="498"/>
      <c r="CH249" s="499"/>
      <c r="CI249" s="499"/>
      <c r="CJ249" s="499"/>
      <c r="CK249" s="499"/>
      <c r="CL249" s="500"/>
      <c r="CM249" s="498"/>
      <c r="CN249" s="499"/>
      <c r="CO249" s="499"/>
      <c r="CP249" s="499"/>
      <c r="CQ249" s="499"/>
      <c r="CR249" s="500"/>
      <c r="CS249" s="498"/>
      <c r="CT249" s="499"/>
      <c r="CU249" s="499"/>
      <c r="CV249" s="499"/>
      <c r="CW249" s="499"/>
      <c r="CX249" s="500"/>
      <c r="CY249" s="498"/>
      <c r="CZ249" s="499"/>
      <c r="DA249" s="499"/>
      <c r="DB249" s="499"/>
      <c r="DC249" s="499"/>
      <c r="DD249" s="500"/>
    </row>
    <row r="250" spans="1:108" x14ac:dyDescent="0.2">
      <c r="A250" s="1" t="s">
        <v>175</v>
      </c>
      <c r="C250" s="211" t="s">
        <v>241</v>
      </c>
      <c r="D250" s="506"/>
      <c r="E250" s="493"/>
      <c r="F250" s="493"/>
      <c r="G250" s="493"/>
      <c r="H250" s="493"/>
      <c r="I250" s="508"/>
      <c r="J250" s="221"/>
      <c r="K250" s="9"/>
      <c r="L250" s="27"/>
      <c r="M250" s="12"/>
      <c r="N250" s="9"/>
      <c r="O250" s="27"/>
      <c r="P250" s="84"/>
      <c r="T250" s="227"/>
      <c r="U250" s="227"/>
      <c r="V250" s="227"/>
      <c r="W250" s="227"/>
      <c r="X250" s="227"/>
      <c r="Y250" s="227"/>
      <c r="Z250" s="227"/>
      <c r="AA250" s="35"/>
      <c r="AB250" s="35"/>
      <c r="AC250" s="35"/>
      <c r="AD250" s="35"/>
      <c r="AE250" s="35"/>
      <c r="AF250" s="227"/>
      <c r="AG250" s="35"/>
      <c r="AH250" s="35"/>
      <c r="AI250" s="35"/>
      <c r="AJ250" s="35"/>
      <c r="AK250" s="227"/>
      <c r="AL250" s="35"/>
      <c r="AM250" s="35"/>
      <c r="AN250" s="35"/>
      <c r="AO250" s="35"/>
      <c r="AP250" s="227"/>
      <c r="AQ250" s="35"/>
      <c r="AR250" s="35"/>
      <c r="AS250" s="35"/>
      <c r="AT250" s="35"/>
      <c r="AU250" s="227"/>
      <c r="AV250" s="35"/>
      <c r="AW250" s="35"/>
      <c r="AX250" s="35"/>
      <c r="AY250" s="35"/>
      <c r="AZ250" s="227"/>
      <c r="BA250" s="35"/>
      <c r="BB250" s="35"/>
      <c r="BC250" s="35"/>
      <c r="BD250" s="35"/>
      <c r="BE250" s="227"/>
      <c r="BF250" s="227"/>
      <c r="BG250" s="227"/>
      <c r="BH250" s="35"/>
      <c r="BI250" s="35"/>
      <c r="BJ250" s="56"/>
      <c r="BK250" s="47"/>
      <c r="BL250" s="234"/>
      <c r="BM250" s="234"/>
      <c r="BN250" s="234"/>
      <c r="BO250" s="234"/>
      <c r="BP250" s="234"/>
      <c r="BQ250" s="227"/>
      <c r="BR250" s="227"/>
      <c r="BS250" s="227"/>
      <c r="BT250" s="227"/>
      <c r="BU250" s="227"/>
      <c r="CA250" s="506"/>
      <c r="CB250" s="493"/>
      <c r="CC250" s="493"/>
      <c r="CD250" s="493"/>
      <c r="CE250" s="493"/>
      <c r="CF250" s="508"/>
      <c r="CG250" s="506"/>
      <c r="CH250" s="493"/>
      <c r="CI250" s="493"/>
      <c r="CJ250" s="493"/>
      <c r="CK250" s="493"/>
      <c r="CL250" s="508"/>
      <c r="CM250" s="506"/>
      <c r="CN250" s="493"/>
      <c r="CO250" s="493"/>
      <c r="CP250" s="493"/>
      <c r="CQ250" s="493"/>
      <c r="CR250" s="508"/>
      <c r="CS250" s="506"/>
      <c r="CT250" s="493"/>
      <c r="CU250" s="493"/>
      <c r="CV250" s="493"/>
      <c r="CW250" s="493"/>
      <c r="CX250" s="508"/>
      <c r="CY250" s="506"/>
      <c r="CZ250" s="493"/>
      <c r="DA250" s="493"/>
      <c r="DB250" s="493"/>
      <c r="DC250" s="493"/>
      <c r="DD250" s="508"/>
    </row>
    <row r="251" spans="1:108" ht="15" x14ac:dyDescent="0.25">
      <c r="A251" s="49"/>
      <c r="B251" s="33">
        <v>70</v>
      </c>
      <c r="C251" s="212" t="s">
        <v>58</v>
      </c>
      <c r="D251" s="527" t="s">
        <v>451</v>
      </c>
      <c r="E251" s="528"/>
      <c r="F251" s="528"/>
      <c r="G251" s="528"/>
      <c r="H251" s="528"/>
      <c r="I251" s="529"/>
      <c r="J251" s="221">
        <f t="shared" ref="J251:O251" si="274">J171</f>
        <v>4917.4992000007478</v>
      </c>
      <c r="K251" s="9">
        <f t="shared" si="274"/>
        <v>685.74674999999843</v>
      </c>
      <c r="L251" s="27">
        <f t="shared" si="274"/>
        <v>2317.0766999997795</v>
      </c>
      <c r="M251" s="12">
        <f t="shared" si="274"/>
        <v>37117.436250005267</v>
      </c>
      <c r="N251" s="9">
        <f t="shared" si="274"/>
        <v>497.01419999998961</v>
      </c>
      <c r="O251" s="27">
        <f t="shared" si="274"/>
        <v>475.6234349998067</v>
      </c>
      <c r="T251" s="227"/>
      <c r="U251" s="227"/>
      <c r="V251" s="227"/>
      <c r="W251" s="227"/>
      <c r="X251" s="227"/>
      <c r="Y251" s="227"/>
      <c r="Z251" s="227"/>
      <c r="AA251" s="35"/>
      <c r="AB251" s="35"/>
      <c r="AC251" s="35"/>
      <c r="AD251" s="35"/>
      <c r="AE251" s="35"/>
      <c r="AF251" s="227"/>
      <c r="AG251" s="35"/>
      <c r="AH251" s="35"/>
      <c r="AI251" s="35"/>
      <c r="AJ251" s="35"/>
      <c r="AK251" s="227"/>
      <c r="AL251" s="35"/>
      <c r="AM251" s="35"/>
      <c r="AN251" s="35"/>
      <c r="AO251" s="35"/>
      <c r="AP251" s="227"/>
      <c r="AQ251" s="35"/>
      <c r="AR251" s="35"/>
      <c r="AS251" s="35"/>
      <c r="AT251" s="35"/>
      <c r="AU251" s="227"/>
      <c r="AV251" s="35"/>
      <c r="AW251" s="35"/>
      <c r="AX251" s="35"/>
      <c r="AY251" s="35"/>
      <c r="AZ251" s="227"/>
      <c r="BA251" s="35"/>
      <c r="BB251" s="35"/>
      <c r="BC251" s="35"/>
      <c r="BD251" s="35"/>
      <c r="BE251" s="227"/>
      <c r="BF251" s="227"/>
      <c r="BG251" s="227"/>
      <c r="BH251" s="35"/>
      <c r="BI251" s="35"/>
      <c r="BJ251" s="56"/>
      <c r="BK251" s="47"/>
      <c r="BL251" s="234"/>
      <c r="BM251" s="234"/>
      <c r="BN251" s="234"/>
      <c r="BO251" s="234"/>
      <c r="BP251" s="234"/>
      <c r="BQ251" s="227"/>
      <c r="BR251" s="227"/>
      <c r="BS251" s="227"/>
      <c r="BT251" s="227"/>
      <c r="BU251" s="227"/>
      <c r="CA251" s="527" t="s">
        <v>451</v>
      </c>
      <c r="CB251" s="528"/>
      <c r="CC251" s="528"/>
      <c r="CD251" s="528"/>
      <c r="CE251" s="528"/>
      <c r="CF251" s="529"/>
      <c r="CG251" s="527" t="s">
        <v>451</v>
      </c>
      <c r="CH251" s="528"/>
      <c r="CI251" s="528"/>
      <c r="CJ251" s="528"/>
      <c r="CK251" s="528"/>
      <c r="CL251" s="529"/>
      <c r="CM251" s="527" t="s">
        <v>533</v>
      </c>
      <c r="CN251" s="528"/>
      <c r="CO251" s="528"/>
      <c r="CP251" s="528"/>
      <c r="CQ251" s="528"/>
      <c r="CR251" s="529"/>
      <c r="CS251" s="527" t="s">
        <v>533</v>
      </c>
      <c r="CT251" s="528"/>
      <c r="CU251" s="528"/>
      <c r="CV251" s="528"/>
      <c r="CW251" s="528"/>
      <c r="CX251" s="529"/>
      <c r="CY251" s="527"/>
      <c r="CZ251" s="528"/>
      <c r="DA251" s="528"/>
      <c r="DB251" s="528"/>
      <c r="DC251" s="528"/>
      <c r="DD251" s="529"/>
    </row>
    <row r="252" spans="1:108" x14ac:dyDescent="0.2">
      <c r="C252" s="15" t="s">
        <v>59</v>
      </c>
      <c r="D252" s="498"/>
      <c r="E252" s="499"/>
      <c r="F252" s="499"/>
      <c r="G252" s="499"/>
      <c r="H252" s="499"/>
      <c r="I252" s="500"/>
      <c r="J252" s="221"/>
      <c r="K252" s="9"/>
      <c r="L252" s="27"/>
      <c r="M252" s="12"/>
      <c r="N252" s="9"/>
      <c r="O252" s="27"/>
      <c r="P252" s="84"/>
      <c r="T252" s="227"/>
      <c r="U252" s="227"/>
      <c r="V252" s="227"/>
      <c r="W252" s="227"/>
      <c r="X252" s="227"/>
      <c r="Y252" s="227"/>
      <c r="Z252" s="227"/>
      <c r="AA252" s="35"/>
      <c r="AB252" s="35"/>
      <c r="AC252" s="35"/>
      <c r="AD252" s="35"/>
      <c r="AE252" s="35"/>
      <c r="AF252" s="227"/>
      <c r="AG252" s="35"/>
      <c r="AH252" s="35"/>
      <c r="AI252" s="35"/>
      <c r="AJ252" s="35"/>
      <c r="AK252" s="227"/>
      <c r="AL252" s="35"/>
      <c r="AM252" s="35"/>
      <c r="AN252" s="35"/>
      <c r="AO252" s="35"/>
      <c r="AP252" s="227"/>
      <c r="AQ252" s="35"/>
      <c r="AR252" s="35"/>
      <c r="AS252" s="35"/>
      <c r="AT252" s="35"/>
      <c r="AU252" s="227"/>
      <c r="AV252" s="35"/>
      <c r="AW252" s="35"/>
      <c r="AX252" s="35"/>
      <c r="AY252" s="35"/>
      <c r="AZ252" s="227"/>
      <c r="BA252" s="35"/>
      <c r="BB252" s="35"/>
      <c r="BC252" s="35"/>
      <c r="BD252" s="35"/>
      <c r="BE252" s="227"/>
      <c r="BF252" s="227"/>
      <c r="BG252" s="227"/>
      <c r="BH252" s="35"/>
      <c r="BI252" s="35"/>
      <c r="BJ252" s="56"/>
      <c r="BK252" s="47"/>
      <c r="BL252" s="234"/>
      <c r="BM252" s="234"/>
      <c r="BN252" s="234"/>
      <c r="BO252" s="234"/>
      <c r="BP252" s="234"/>
      <c r="BQ252" s="227"/>
      <c r="BR252" s="227"/>
      <c r="BS252" s="227"/>
      <c r="BT252" s="227"/>
      <c r="BU252" s="227"/>
      <c r="CA252" s="498"/>
      <c r="CB252" s="499"/>
      <c r="CC252" s="499"/>
      <c r="CD252" s="499"/>
      <c r="CE252" s="499"/>
      <c r="CF252" s="500"/>
      <c r="CG252" s="498"/>
      <c r="CH252" s="499"/>
      <c r="CI252" s="499"/>
      <c r="CJ252" s="499"/>
      <c r="CK252" s="499"/>
      <c r="CL252" s="500"/>
      <c r="CM252" s="498"/>
      <c r="CN252" s="499"/>
      <c r="CO252" s="499"/>
      <c r="CP252" s="499"/>
      <c r="CQ252" s="499"/>
      <c r="CR252" s="500"/>
      <c r="CS252" s="498"/>
      <c r="CT252" s="499"/>
      <c r="CU252" s="499"/>
      <c r="CV252" s="499"/>
      <c r="CW252" s="499"/>
      <c r="CX252" s="500"/>
      <c r="CY252" s="498"/>
      <c r="CZ252" s="499"/>
      <c r="DA252" s="499"/>
      <c r="DB252" s="499"/>
      <c r="DC252" s="499"/>
      <c r="DD252" s="500"/>
    </row>
    <row r="253" spans="1:108" x14ac:dyDescent="0.2">
      <c r="A253" s="1" t="s">
        <v>176</v>
      </c>
      <c r="C253" s="211" t="s">
        <v>59</v>
      </c>
      <c r="D253" s="506"/>
      <c r="E253" s="493"/>
      <c r="F253" s="493"/>
      <c r="G253" s="493"/>
      <c r="H253" s="493"/>
      <c r="I253" s="508"/>
      <c r="J253" s="221"/>
      <c r="K253" s="9"/>
      <c r="L253" s="27"/>
      <c r="M253" s="12"/>
      <c r="N253" s="9"/>
      <c r="O253" s="27"/>
      <c r="P253" s="84"/>
      <c r="T253" s="227"/>
      <c r="U253" s="227"/>
      <c r="V253" s="227"/>
      <c r="W253" s="227"/>
      <c r="X253" s="227"/>
      <c r="Y253" s="227"/>
      <c r="Z253" s="227"/>
      <c r="AA253" s="35"/>
      <c r="AB253" s="35"/>
      <c r="AC253" s="35"/>
      <c r="AD253" s="35"/>
      <c r="AE253" s="35"/>
      <c r="AF253" s="227"/>
      <c r="AG253" s="35"/>
      <c r="AH253" s="35"/>
      <c r="AI253" s="35"/>
      <c r="AJ253" s="35"/>
      <c r="AK253" s="227"/>
      <c r="AL253" s="35"/>
      <c r="AM253" s="35"/>
      <c r="AN253" s="35"/>
      <c r="AO253" s="35"/>
      <c r="AP253" s="227"/>
      <c r="AQ253" s="35"/>
      <c r="AR253" s="35"/>
      <c r="AS253" s="35"/>
      <c r="AT253" s="35"/>
      <c r="AU253" s="227"/>
      <c r="AV253" s="35"/>
      <c r="AW253" s="35"/>
      <c r="AX253" s="35"/>
      <c r="AY253" s="35"/>
      <c r="AZ253" s="227"/>
      <c r="BA253" s="35"/>
      <c r="BB253" s="35"/>
      <c r="BC253" s="35"/>
      <c r="BD253" s="35"/>
      <c r="BE253" s="227"/>
      <c r="BF253" s="227"/>
      <c r="BG253" s="227"/>
      <c r="BH253" s="35"/>
      <c r="BI253" s="35"/>
      <c r="BJ253" s="56"/>
      <c r="BK253" s="47"/>
      <c r="BL253" s="234"/>
      <c r="BM253" s="234"/>
      <c r="BN253" s="234"/>
      <c r="BO253" s="234"/>
      <c r="BP253" s="234"/>
      <c r="BQ253" s="227"/>
      <c r="BR253" s="227"/>
      <c r="BS253" s="227"/>
      <c r="BT253" s="227"/>
      <c r="BU253" s="227"/>
      <c r="CA253" s="506"/>
      <c r="CB253" s="493"/>
      <c r="CC253" s="493"/>
      <c r="CD253" s="493"/>
      <c r="CE253" s="493"/>
      <c r="CF253" s="508"/>
      <c r="CG253" s="506"/>
      <c r="CH253" s="493"/>
      <c r="CI253" s="493"/>
      <c r="CJ253" s="493"/>
      <c r="CK253" s="493"/>
      <c r="CL253" s="508"/>
      <c r="CM253" s="506"/>
      <c r="CN253" s="493"/>
      <c r="CO253" s="493"/>
      <c r="CP253" s="493"/>
      <c r="CQ253" s="493"/>
      <c r="CR253" s="508"/>
      <c r="CS253" s="506"/>
      <c r="CT253" s="493"/>
      <c r="CU253" s="493"/>
      <c r="CV253" s="493"/>
      <c r="CW253" s="493"/>
      <c r="CX253" s="508"/>
      <c r="CY253" s="506"/>
      <c r="CZ253" s="493"/>
      <c r="DA253" s="493"/>
      <c r="DB253" s="493"/>
      <c r="DC253" s="493"/>
      <c r="DD253" s="508"/>
    </row>
    <row r="254" spans="1:108" ht="15" x14ac:dyDescent="0.25">
      <c r="A254" s="49"/>
      <c r="B254" s="33">
        <v>90</v>
      </c>
      <c r="C254" s="212" t="s">
        <v>59</v>
      </c>
      <c r="D254" s="527" t="s">
        <v>452</v>
      </c>
      <c r="E254" s="528"/>
      <c r="F254" s="528"/>
      <c r="G254" s="528"/>
      <c r="H254" s="528"/>
      <c r="I254" s="529"/>
      <c r="J254" s="221">
        <f t="shared" ref="J254:O254" si="275">J174</f>
        <v>0</v>
      </c>
      <c r="K254" s="9">
        <f t="shared" si="275"/>
        <v>0</v>
      </c>
      <c r="L254" s="27">
        <f t="shared" si="275"/>
        <v>0</v>
      </c>
      <c r="M254" s="12">
        <f t="shared" si="275"/>
        <v>0</v>
      </c>
      <c r="N254" s="9">
        <f t="shared" si="275"/>
        <v>0</v>
      </c>
      <c r="O254" s="27">
        <f t="shared" si="275"/>
        <v>0</v>
      </c>
      <c r="T254" s="227"/>
      <c r="U254" s="227"/>
      <c r="V254" s="227"/>
      <c r="W254" s="227"/>
      <c r="X254" s="227"/>
      <c r="Y254" s="227"/>
      <c r="Z254" s="227"/>
      <c r="AA254" s="35"/>
      <c r="AB254" s="35"/>
      <c r="AC254" s="35"/>
      <c r="AD254" s="35"/>
      <c r="AE254" s="35"/>
      <c r="AF254" s="227"/>
      <c r="AG254" s="35"/>
      <c r="AH254" s="35"/>
      <c r="AI254" s="35"/>
      <c r="AJ254" s="35"/>
      <c r="AK254" s="227"/>
      <c r="AL254" s="35"/>
      <c r="AM254" s="35"/>
      <c r="AN254" s="35"/>
      <c r="AO254" s="35"/>
      <c r="AP254" s="227"/>
      <c r="AQ254" s="35"/>
      <c r="AR254" s="35"/>
      <c r="AS254" s="35"/>
      <c r="AT254" s="35"/>
      <c r="AU254" s="227"/>
      <c r="AV254" s="35"/>
      <c r="AW254" s="35"/>
      <c r="AX254" s="35"/>
      <c r="AY254" s="35"/>
      <c r="AZ254" s="227"/>
      <c r="BA254" s="35"/>
      <c r="BB254" s="35"/>
      <c r="BC254" s="35"/>
      <c r="BD254" s="35"/>
      <c r="BE254" s="227"/>
      <c r="BF254" s="227"/>
      <c r="BG254" s="227"/>
      <c r="BH254" s="35"/>
      <c r="BI254" s="35"/>
      <c r="BJ254" s="56"/>
      <c r="BK254" s="47"/>
      <c r="BL254" s="234"/>
      <c r="BM254" s="234"/>
      <c r="BN254" s="234"/>
      <c r="BO254" s="234"/>
      <c r="BP254" s="234"/>
      <c r="BQ254" s="227"/>
      <c r="BR254" s="227"/>
      <c r="BS254" s="227"/>
      <c r="BT254" s="227"/>
      <c r="BU254" s="227"/>
      <c r="CA254" s="527" t="s">
        <v>452</v>
      </c>
      <c r="CB254" s="528"/>
      <c r="CC254" s="528"/>
      <c r="CD254" s="528"/>
      <c r="CE254" s="528"/>
      <c r="CF254" s="529"/>
      <c r="CG254" s="527" t="s">
        <v>507</v>
      </c>
      <c r="CH254" s="528"/>
      <c r="CI254" s="528"/>
      <c r="CJ254" s="528"/>
      <c r="CK254" s="528"/>
      <c r="CL254" s="529"/>
      <c r="CM254" s="527" t="s">
        <v>534</v>
      </c>
      <c r="CN254" s="528"/>
      <c r="CO254" s="528"/>
      <c r="CP254" s="528"/>
      <c r="CQ254" s="528"/>
      <c r="CR254" s="529"/>
      <c r="CS254" s="527" t="s">
        <v>534</v>
      </c>
      <c r="CT254" s="528"/>
      <c r="CU254" s="528"/>
      <c r="CV254" s="528"/>
      <c r="CW254" s="528"/>
      <c r="CX254" s="529"/>
      <c r="CY254" s="527"/>
      <c r="CZ254" s="528"/>
      <c r="DA254" s="528"/>
      <c r="DB254" s="528"/>
      <c r="DC254" s="528"/>
      <c r="DD254" s="529"/>
    </row>
    <row r="255" spans="1:108" x14ac:dyDescent="0.2">
      <c r="C255" s="15" t="s">
        <v>236</v>
      </c>
      <c r="D255" s="498"/>
      <c r="E255" s="499"/>
      <c r="F255" s="499"/>
      <c r="G255" s="499"/>
      <c r="H255" s="499"/>
      <c r="I255" s="500"/>
      <c r="J255" s="221"/>
      <c r="K255" s="9"/>
      <c r="L255" s="27"/>
      <c r="M255" s="12"/>
      <c r="N255" s="9"/>
      <c r="O255" s="27"/>
      <c r="P255" s="84"/>
      <c r="T255" s="227"/>
      <c r="U255" s="227"/>
      <c r="V255" s="227"/>
      <c r="W255" s="227"/>
      <c r="X255" s="227"/>
      <c r="Y255" s="227"/>
      <c r="Z255" s="227"/>
      <c r="AA255" s="35"/>
      <c r="AB255" s="35"/>
      <c r="AC255" s="35"/>
      <c r="AD255" s="35"/>
      <c r="AE255" s="35"/>
      <c r="AF255" s="227"/>
      <c r="AG255" s="35"/>
      <c r="AH255" s="35"/>
      <c r="AI255" s="35"/>
      <c r="AJ255" s="35"/>
      <c r="AK255" s="227"/>
      <c r="AL255" s="35"/>
      <c r="AM255" s="35"/>
      <c r="AN255" s="35"/>
      <c r="AO255" s="35"/>
      <c r="AP255" s="227"/>
      <c r="AQ255" s="35"/>
      <c r="AR255" s="35"/>
      <c r="AS255" s="35"/>
      <c r="AT255" s="35"/>
      <c r="AU255" s="227"/>
      <c r="AV255" s="35"/>
      <c r="AW255" s="35"/>
      <c r="AX255" s="35"/>
      <c r="AY255" s="35"/>
      <c r="AZ255" s="227"/>
      <c r="BA255" s="35"/>
      <c r="BB255" s="35"/>
      <c r="BC255" s="35"/>
      <c r="BD255" s="35"/>
      <c r="BE255" s="227"/>
      <c r="BF255" s="227"/>
      <c r="BG255" s="227"/>
      <c r="BH255" s="35"/>
      <c r="BI255" s="35"/>
      <c r="BJ255" s="58"/>
      <c r="BK255" s="48"/>
      <c r="BL255" s="234"/>
      <c r="BM255" s="234"/>
      <c r="BN255" s="234"/>
      <c r="BO255" s="234"/>
      <c r="BP255" s="234"/>
      <c r="BQ255" s="227"/>
      <c r="BR255" s="227"/>
      <c r="BS255" s="227"/>
      <c r="BT255" s="227"/>
      <c r="BU255" s="227"/>
      <c r="CA255" s="498"/>
      <c r="CB255" s="499"/>
      <c r="CC255" s="499"/>
      <c r="CD255" s="499"/>
      <c r="CE255" s="499"/>
      <c r="CF255" s="500"/>
      <c r="CG255" s="498"/>
      <c r="CH255" s="499"/>
      <c r="CI255" s="499"/>
      <c r="CJ255" s="499"/>
      <c r="CK255" s="499"/>
      <c r="CL255" s="500"/>
      <c r="CM255" s="498"/>
      <c r="CN255" s="499"/>
      <c r="CO255" s="499"/>
      <c r="CP255" s="499"/>
      <c r="CQ255" s="499"/>
      <c r="CR255" s="500"/>
      <c r="CS255" s="498"/>
      <c r="CT255" s="499"/>
      <c r="CU255" s="499"/>
      <c r="CV255" s="499"/>
      <c r="CW255" s="499"/>
      <c r="CX255" s="500"/>
      <c r="CY255" s="498"/>
      <c r="CZ255" s="499"/>
      <c r="DA255" s="499"/>
      <c r="DB255" s="499"/>
      <c r="DC255" s="499"/>
      <c r="DD255" s="500"/>
    </row>
    <row r="256" spans="1:108" x14ac:dyDescent="0.2">
      <c r="A256" s="1" t="s">
        <v>177</v>
      </c>
      <c r="C256" s="211" t="s">
        <v>236</v>
      </c>
      <c r="D256" s="506"/>
      <c r="E256" s="493"/>
      <c r="F256" s="493"/>
      <c r="G256" s="493"/>
      <c r="H256" s="493"/>
      <c r="I256" s="508"/>
      <c r="J256" s="221"/>
      <c r="K256" s="9"/>
      <c r="L256" s="27"/>
      <c r="M256" s="12"/>
      <c r="N256" s="9"/>
      <c r="O256" s="27"/>
      <c r="P256" s="84"/>
      <c r="T256" s="227"/>
      <c r="U256" s="227"/>
      <c r="V256" s="227"/>
      <c r="W256" s="227"/>
      <c r="X256" s="227"/>
      <c r="Y256" s="227"/>
      <c r="Z256" s="227"/>
      <c r="AA256" s="35"/>
      <c r="AB256" s="35"/>
      <c r="AC256" s="35"/>
      <c r="AD256" s="35"/>
      <c r="AE256" s="35"/>
      <c r="AF256" s="227"/>
      <c r="AG256" s="35"/>
      <c r="AH256" s="35"/>
      <c r="AI256" s="35"/>
      <c r="AJ256" s="35"/>
      <c r="AK256" s="227"/>
      <c r="AL256" s="35"/>
      <c r="AM256" s="35"/>
      <c r="AN256" s="35"/>
      <c r="AO256" s="35"/>
      <c r="AP256" s="227"/>
      <c r="AQ256" s="35"/>
      <c r="AR256" s="35"/>
      <c r="AS256" s="35"/>
      <c r="AT256" s="35"/>
      <c r="AU256" s="227"/>
      <c r="AV256" s="35"/>
      <c r="AW256" s="35"/>
      <c r="AX256" s="35"/>
      <c r="AY256" s="35"/>
      <c r="AZ256" s="227"/>
      <c r="BA256" s="35"/>
      <c r="BB256" s="35"/>
      <c r="BC256" s="35"/>
      <c r="BD256" s="35"/>
      <c r="BE256" s="227"/>
      <c r="BF256" s="227"/>
      <c r="BG256" s="227"/>
      <c r="BH256" s="35"/>
      <c r="BI256" s="35"/>
      <c r="BJ256" s="56"/>
      <c r="BK256" s="47"/>
      <c r="BL256" s="234"/>
      <c r="BM256" s="234"/>
      <c r="BN256" s="234"/>
      <c r="BO256" s="234"/>
      <c r="BP256" s="234"/>
      <c r="BQ256" s="227"/>
      <c r="BR256" s="227"/>
      <c r="BS256" s="227"/>
      <c r="BT256" s="227"/>
      <c r="BU256" s="227"/>
      <c r="CA256" s="506"/>
      <c r="CB256" s="493"/>
      <c r="CC256" s="493"/>
      <c r="CD256" s="493"/>
      <c r="CE256" s="493"/>
      <c r="CF256" s="508"/>
      <c r="CG256" s="506"/>
      <c r="CH256" s="493"/>
      <c r="CI256" s="493"/>
      <c r="CJ256" s="493"/>
      <c r="CK256" s="493"/>
      <c r="CL256" s="508"/>
      <c r="CM256" s="506"/>
      <c r="CN256" s="493"/>
      <c r="CO256" s="493"/>
      <c r="CP256" s="493"/>
      <c r="CQ256" s="493"/>
      <c r="CR256" s="508"/>
      <c r="CS256" s="506"/>
      <c r="CT256" s="493"/>
      <c r="CU256" s="493"/>
      <c r="CV256" s="493"/>
      <c r="CW256" s="493"/>
      <c r="CX256" s="508"/>
      <c r="CY256" s="506"/>
      <c r="CZ256" s="493"/>
      <c r="DA256" s="493"/>
      <c r="DB256" s="493"/>
      <c r="DC256" s="493"/>
      <c r="DD256" s="508"/>
    </row>
    <row r="257" spans="1:108" ht="15" x14ac:dyDescent="0.25">
      <c r="A257" s="49"/>
      <c r="B257" s="33">
        <v>99</v>
      </c>
      <c r="C257" s="212" t="s">
        <v>236</v>
      </c>
      <c r="D257" s="527" t="s">
        <v>453</v>
      </c>
      <c r="E257" s="528"/>
      <c r="F257" s="528"/>
      <c r="G257" s="528"/>
      <c r="H257" s="528"/>
      <c r="I257" s="529"/>
      <c r="J257" s="221">
        <f t="shared" ref="J257:O257" si="276">J177</f>
        <v>0</v>
      </c>
      <c r="K257" s="9">
        <f t="shared" si="276"/>
        <v>0</v>
      </c>
      <c r="L257" s="27">
        <f t="shared" si="276"/>
        <v>0</v>
      </c>
      <c r="M257" s="12">
        <f t="shared" si="276"/>
        <v>0</v>
      </c>
      <c r="N257" s="9">
        <f t="shared" si="276"/>
        <v>0</v>
      </c>
      <c r="O257" s="27">
        <f t="shared" si="276"/>
        <v>0</v>
      </c>
      <c r="T257" s="227"/>
      <c r="U257" s="227"/>
      <c r="V257" s="227"/>
      <c r="W257" s="227"/>
      <c r="X257" s="227"/>
      <c r="Y257" s="227"/>
      <c r="Z257" s="227"/>
      <c r="AA257" s="35"/>
      <c r="AB257" s="52"/>
      <c r="AC257" s="52"/>
      <c r="AD257" s="52"/>
      <c r="AE257" s="52"/>
      <c r="AF257" s="227"/>
      <c r="AG257" s="35"/>
      <c r="AH257" s="35"/>
      <c r="AI257" s="35"/>
      <c r="AJ257" s="35"/>
      <c r="AK257" s="227"/>
      <c r="AL257" s="35"/>
      <c r="AM257" s="35"/>
      <c r="AN257" s="35"/>
      <c r="AO257" s="35"/>
      <c r="AP257" s="227"/>
      <c r="AQ257" s="35"/>
      <c r="AR257" s="35"/>
      <c r="AS257" s="35"/>
      <c r="AT257" s="35"/>
      <c r="AU257" s="227"/>
      <c r="AV257" s="35"/>
      <c r="AW257" s="35"/>
      <c r="AX257" s="35"/>
      <c r="AY257" s="35"/>
      <c r="AZ257" s="227"/>
      <c r="BA257" s="35"/>
      <c r="BB257" s="35"/>
      <c r="BC257" s="35"/>
      <c r="BD257" s="35"/>
      <c r="BE257" s="227"/>
      <c r="BF257" s="227"/>
      <c r="BG257" s="227"/>
      <c r="BH257" s="35"/>
      <c r="BI257" s="35"/>
      <c r="BJ257" s="56"/>
      <c r="BK257" s="47"/>
      <c r="BL257" s="234"/>
      <c r="BM257" s="234"/>
      <c r="BN257" s="234"/>
      <c r="BO257" s="234"/>
      <c r="BP257" s="234"/>
      <c r="BQ257" s="227"/>
      <c r="BR257" s="227"/>
      <c r="BS257" s="227"/>
      <c r="BT257" s="227"/>
      <c r="BU257" s="227"/>
      <c r="CA257" s="527" t="s">
        <v>453</v>
      </c>
      <c r="CB257" s="528"/>
      <c r="CC257" s="528"/>
      <c r="CD257" s="528"/>
      <c r="CE257" s="528"/>
      <c r="CF257" s="529"/>
      <c r="CG257" s="527" t="s">
        <v>508</v>
      </c>
      <c r="CH257" s="528"/>
      <c r="CI257" s="528"/>
      <c r="CJ257" s="528"/>
      <c r="CK257" s="528"/>
      <c r="CL257" s="529"/>
      <c r="CM257" s="527" t="s">
        <v>453</v>
      </c>
      <c r="CN257" s="528"/>
      <c r="CO257" s="528"/>
      <c r="CP257" s="528"/>
      <c r="CQ257" s="528"/>
      <c r="CR257" s="529"/>
      <c r="CS257" s="527" t="s">
        <v>453</v>
      </c>
      <c r="CT257" s="528"/>
      <c r="CU257" s="528"/>
      <c r="CV257" s="528"/>
      <c r="CW257" s="528"/>
      <c r="CX257" s="529"/>
      <c r="CY257" s="527"/>
      <c r="CZ257" s="528"/>
      <c r="DA257" s="528"/>
      <c r="DB257" s="528"/>
      <c r="DC257" s="528"/>
      <c r="DD257" s="529"/>
    </row>
    <row r="258" spans="1:108" ht="6" customHeight="1" x14ac:dyDescent="0.2">
      <c r="C258" s="17"/>
      <c r="D258" s="506"/>
      <c r="E258" s="493"/>
      <c r="F258" s="493"/>
      <c r="G258" s="493"/>
      <c r="H258" s="493"/>
      <c r="I258" s="508"/>
      <c r="J258" s="222"/>
      <c r="K258" s="10"/>
      <c r="L258" s="28"/>
      <c r="M258" s="13"/>
      <c r="N258" s="10"/>
      <c r="O258" s="28"/>
      <c r="P258" s="84"/>
      <c r="T258" s="227"/>
      <c r="U258" s="227"/>
      <c r="V258" s="227"/>
      <c r="W258" s="227"/>
      <c r="X258" s="227"/>
      <c r="Y258" s="227"/>
      <c r="Z258" s="227"/>
      <c r="AA258" s="35"/>
      <c r="AB258" s="35"/>
      <c r="AC258" s="35"/>
      <c r="AD258" s="35"/>
      <c r="AE258" s="35"/>
      <c r="AF258" s="227"/>
      <c r="AG258" s="35"/>
      <c r="AH258" s="35"/>
      <c r="AI258" s="35"/>
      <c r="AJ258" s="35"/>
      <c r="AK258" s="227"/>
      <c r="AL258" s="35"/>
      <c r="AM258" s="35"/>
      <c r="AN258" s="35"/>
      <c r="AO258" s="35"/>
      <c r="AP258" s="227"/>
      <c r="AQ258" s="35"/>
      <c r="AR258" s="35"/>
      <c r="AS258" s="35"/>
      <c r="AT258" s="35"/>
      <c r="AU258" s="227"/>
      <c r="AV258" s="35"/>
      <c r="AW258" s="35"/>
      <c r="AX258" s="35"/>
      <c r="AY258" s="35"/>
      <c r="AZ258" s="227"/>
      <c r="BA258" s="35"/>
      <c r="BB258" s="35"/>
      <c r="BC258" s="35"/>
      <c r="BD258" s="35"/>
      <c r="BE258" s="227"/>
      <c r="BF258" s="227"/>
      <c r="BG258" s="227"/>
      <c r="BH258" s="35"/>
      <c r="BI258" s="227"/>
      <c r="BJ258" s="227"/>
      <c r="BK258" s="227"/>
      <c r="BL258" s="227"/>
      <c r="BM258" s="227"/>
      <c r="BN258" s="227"/>
      <c r="BO258" s="227"/>
      <c r="BP258" s="227"/>
      <c r="BQ258" s="227"/>
      <c r="BR258" s="227"/>
      <c r="BS258" s="227"/>
      <c r="BT258" s="227"/>
      <c r="BU258" s="227"/>
      <c r="CA258" s="506"/>
      <c r="CB258" s="493"/>
      <c r="CC258" s="493"/>
      <c r="CD258" s="493"/>
      <c r="CE258" s="493"/>
      <c r="CF258" s="508"/>
      <c r="CG258" s="506"/>
      <c r="CH258" s="493"/>
      <c r="CI258" s="493"/>
      <c r="CJ258" s="493"/>
      <c r="CK258" s="493"/>
      <c r="CL258" s="508"/>
      <c r="CM258" s="506"/>
      <c r="CN258" s="493"/>
      <c r="CO258" s="493"/>
      <c r="CP258" s="493"/>
      <c r="CQ258" s="493"/>
      <c r="CR258" s="508"/>
      <c r="CS258" s="506"/>
      <c r="CT258" s="493"/>
      <c r="CU258" s="493"/>
      <c r="CV258" s="493"/>
      <c r="CW258" s="493"/>
      <c r="CX258" s="508"/>
      <c r="CY258" s="506"/>
      <c r="CZ258" s="493"/>
      <c r="DA258" s="493"/>
      <c r="DB258" s="493"/>
      <c r="DC258" s="493"/>
      <c r="DD258" s="508"/>
    </row>
    <row r="259" spans="1:108" ht="6" customHeight="1" x14ac:dyDescent="0.2">
      <c r="C259" s="203"/>
      <c r="H259" s="2"/>
      <c r="I259" s="2"/>
      <c r="T259" s="227"/>
      <c r="U259" s="227"/>
      <c r="V259" s="227"/>
      <c r="W259" s="227"/>
      <c r="X259" s="227"/>
      <c r="Y259" s="227"/>
      <c r="Z259" s="227"/>
      <c r="AA259" s="35"/>
      <c r="AB259" s="36"/>
      <c r="AC259" s="36"/>
      <c r="AD259" s="36"/>
      <c r="AE259" s="36"/>
      <c r="AF259" s="227"/>
      <c r="AG259" s="35"/>
      <c r="AH259" s="35"/>
      <c r="AI259" s="35"/>
      <c r="AJ259" s="35"/>
      <c r="AK259" s="227"/>
      <c r="AL259" s="35"/>
      <c r="AM259" s="35"/>
      <c r="AN259" s="35"/>
      <c r="AO259" s="35"/>
      <c r="AP259" s="227"/>
      <c r="AQ259" s="35"/>
      <c r="AR259" s="35"/>
      <c r="AS259" s="35"/>
      <c r="AT259" s="35"/>
      <c r="AU259" s="227"/>
      <c r="AV259" s="35"/>
      <c r="AW259" s="35"/>
      <c r="AX259" s="35"/>
      <c r="AY259" s="35"/>
      <c r="AZ259" s="227"/>
      <c r="BA259" s="35"/>
      <c r="BB259" s="35"/>
      <c r="BC259" s="35"/>
      <c r="BD259" s="35"/>
      <c r="BE259" s="227"/>
      <c r="BF259" s="227"/>
      <c r="BG259" s="227"/>
      <c r="BH259" s="35"/>
      <c r="BI259" s="227"/>
      <c r="BJ259" s="227"/>
      <c r="BK259" s="227"/>
      <c r="BL259" s="227"/>
      <c r="BM259" s="227"/>
      <c r="BN259" s="227"/>
      <c r="BO259" s="227"/>
      <c r="BP259" s="227"/>
      <c r="BQ259" s="227"/>
      <c r="BR259" s="227"/>
      <c r="BS259" s="227"/>
      <c r="BT259" s="227"/>
      <c r="BU259" s="227"/>
    </row>
    <row r="260" spans="1:108" ht="12.75" customHeight="1" x14ac:dyDescent="0.2">
      <c r="C260" s="188" t="s">
        <v>287</v>
      </c>
      <c r="D260" s="224"/>
      <c r="E260" s="166"/>
      <c r="F260" s="166"/>
      <c r="G260" s="177"/>
      <c r="H260" s="199"/>
      <c r="I260" s="173"/>
      <c r="J260" s="20">
        <f t="shared" ref="J260:O262" si="277">J180</f>
        <v>73696.828204709411</v>
      </c>
      <c r="K260" s="8">
        <f t="shared" si="277"/>
        <v>15425.621013530508</v>
      </c>
      <c r="L260" s="26">
        <f t="shared" si="277"/>
        <v>42162.867443734933</v>
      </c>
      <c r="M260" s="11">
        <f t="shared" si="277"/>
        <v>512395.68579629296</v>
      </c>
      <c r="N260" s="8">
        <f t="shared" si="277"/>
        <v>13086.925149561281</v>
      </c>
      <c r="O260" s="26">
        <f t="shared" si="277"/>
        <v>8368.5832495077921</v>
      </c>
      <c r="T260" s="227"/>
      <c r="U260" s="227"/>
      <c r="V260" s="227"/>
      <c r="W260" s="227"/>
      <c r="X260" s="227"/>
      <c r="Y260" s="227"/>
      <c r="Z260" s="227"/>
      <c r="AA260" s="35"/>
      <c r="AB260" s="35"/>
      <c r="AC260" s="35"/>
      <c r="AD260" s="35"/>
      <c r="AE260" s="35"/>
      <c r="AF260" s="227"/>
      <c r="AG260" s="35"/>
      <c r="AH260" s="35"/>
      <c r="AI260" s="35"/>
      <c r="AJ260" s="35"/>
      <c r="AK260" s="227"/>
      <c r="AL260" s="35"/>
      <c r="AM260" s="35"/>
      <c r="AN260" s="35"/>
      <c r="AO260" s="35"/>
      <c r="AP260" s="227"/>
      <c r="AQ260" s="35"/>
      <c r="AR260" s="35"/>
      <c r="AS260" s="35"/>
      <c r="AT260" s="35"/>
      <c r="AU260" s="227"/>
      <c r="AV260" s="35"/>
      <c r="AW260" s="35"/>
      <c r="AX260" s="35"/>
      <c r="AY260" s="35"/>
      <c r="AZ260" s="227"/>
      <c r="BA260" s="35"/>
      <c r="BB260" s="35"/>
      <c r="BC260" s="35"/>
      <c r="BD260" s="35"/>
      <c r="BE260" s="227"/>
      <c r="BF260" s="227"/>
      <c r="BG260" s="227"/>
      <c r="BH260" s="35"/>
      <c r="BI260" s="227"/>
      <c r="BJ260" s="227"/>
      <c r="BK260" s="227"/>
      <c r="BL260" s="227"/>
      <c r="BM260" s="227"/>
      <c r="BN260" s="227"/>
      <c r="BO260" s="227"/>
      <c r="BP260" s="227"/>
      <c r="BQ260" s="227"/>
      <c r="BR260" s="227"/>
      <c r="BS260" s="227"/>
      <c r="BT260" s="227"/>
      <c r="BU260" s="227"/>
    </row>
    <row r="261" spans="1:108" ht="12.75" customHeight="1" x14ac:dyDescent="0.2">
      <c r="C261" s="16" t="s">
        <v>243</v>
      </c>
      <c r="D261" s="207"/>
      <c r="E261" s="167"/>
      <c r="F261" s="167"/>
      <c r="G261" s="178"/>
      <c r="H261" s="168"/>
      <c r="I261" s="174"/>
      <c r="J261" s="6">
        <f t="shared" si="277"/>
        <v>11250.000000000002</v>
      </c>
      <c r="K261" s="9">
        <f t="shared" si="277"/>
        <v>1800.0000000000002</v>
      </c>
      <c r="L261" s="27">
        <f t="shared" si="277"/>
        <v>4769.200395347716</v>
      </c>
      <c r="M261" s="12">
        <f t="shared" si="277"/>
        <v>68834.509291799186</v>
      </c>
      <c r="N261" s="9">
        <f t="shared" si="277"/>
        <v>450.19808854828722</v>
      </c>
      <c r="O261" s="27">
        <f t="shared" si="277"/>
        <v>492.39888334153278</v>
      </c>
      <c r="T261" s="227"/>
      <c r="U261" s="227"/>
      <c r="V261" s="227"/>
      <c r="W261" s="227"/>
      <c r="X261" s="227"/>
      <c r="Y261" s="227"/>
      <c r="Z261" s="227"/>
      <c r="AA261" s="35"/>
      <c r="AB261" s="35"/>
      <c r="AC261" s="35"/>
      <c r="AD261" s="35"/>
      <c r="AE261" s="35"/>
      <c r="AF261" s="227"/>
      <c r="AG261" s="35"/>
      <c r="AH261" s="35"/>
      <c r="AI261" s="35"/>
      <c r="AJ261" s="35"/>
      <c r="AK261" s="227"/>
      <c r="AL261" s="35"/>
      <c r="AM261" s="35"/>
      <c r="AN261" s="35"/>
      <c r="AO261" s="35"/>
      <c r="AP261" s="227"/>
      <c r="AQ261" s="35"/>
      <c r="AR261" s="35"/>
      <c r="AS261" s="35"/>
      <c r="AT261" s="35"/>
      <c r="AU261" s="227"/>
      <c r="AV261" s="35"/>
      <c r="AW261" s="35"/>
      <c r="AX261" s="35"/>
      <c r="AY261" s="35"/>
      <c r="AZ261" s="227"/>
      <c r="BA261" s="35"/>
      <c r="BB261" s="35"/>
      <c r="BC261" s="35"/>
      <c r="BD261" s="35"/>
      <c r="BE261" s="227"/>
      <c r="BF261" s="227"/>
      <c r="BG261" s="227"/>
      <c r="BH261" s="35"/>
      <c r="BI261" s="227"/>
      <c r="BJ261" s="227"/>
      <c r="BK261" s="227"/>
      <c r="BL261" s="227"/>
      <c r="BM261" s="227"/>
      <c r="BN261" s="227"/>
      <c r="BO261" s="227"/>
      <c r="BP261" s="227"/>
      <c r="BQ261" s="227"/>
      <c r="BR261" s="227"/>
      <c r="BS261" s="227"/>
      <c r="BT261" s="227"/>
      <c r="BU261" s="227"/>
    </row>
    <row r="262" spans="1:108" ht="12.75" customHeight="1" x14ac:dyDescent="0.2">
      <c r="C262" s="16" t="s">
        <v>244</v>
      </c>
      <c r="D262" s="207"/>
      <c r="E262" s="167"/>
      <c r="F262" s="167"/>
      <c r="G262" s="178"/>
      <c r="H262" s="19"/>
      <c r="I262" s="18"/>
      <c r="J262" s="6">
        <f t="shared" si="277"/>
        <v>9582.0022214912224</v>
      </c>
      <c r="K262" s="9">
        <f t="shared" si="277"/>
        <v>1260.0000000000002</v>
      </c>
      <c r="L262" s="27">
        <f t="shared" si="277"/>
        <v>3338.4402767434012</v>
      </c>
      <c r="M262" s="12">
        <f t="shared" si="277"/>
        <v>48184.15650425943</v>
      </c>
      <c r="N262" s="9">
        <f t="shared" si="277"/>
        <v>315.13866198380111</v>
      </c>
      <c r="O262" s="27">
        <f t="shared" si="277"/>
        <v>344.67921833907297</v>
      </c>
      <c r="T262" s="227"/>
      <c r="U262" s="227"/>
      <c r="V262" s="227"/>
      <c r="W262" s="227"/>
      <c r="X262" s="227"/>
      <c r="Y262" s="227"/>
      <c r="Z262" s="227"/>
      <c r="AA262" s="35"/>
      <c r="AB262" s="35"/>
      <c r="AC262" s="35"/>
      <c r="AD262" s="35"/>
      <c r="AE262" s="35"/>
      <c r="AF262" s="227"/>
      <c r="AG262" s="35"/>
      <c r="AH262" s="35"/>
      <c r="AI262" s="35"/>
      <c r="AJ262" s="35"/>
      <c r="AK262" s="227"/>
      <c r="AL262" s="35"/>
      <c r="AM262" s="35"/>
      <c r="AN262" s="35"/>
      <c r="AO262" s="35"/>
      <c r="AP262" s="227"/>
      <c r="AQ262" s="35"/>
      <c r="AR262" s="35"/>
      <c r="AS262" s="35"/>
      <c r="AT262" s="35"/>
      <c r="AU262" s="227"/>
      <c r="AV262" s="35"/>
      <c r="AW262" s="35"/>
      <c r="AX262" s="35"/>
      <c r="AY262" s="35"/>
      <c r="AZ262" s="227"/>
      <c r="BA262" s="35"/>
      <c r="BB262" s="35"/>
      <c r="BC262" s="35"/>
      <c r="BD262" s="35"/>
      <c r="BE262" s="227"/>
      <c r="BF262" s="227"/>
      <c r="BG262" s="227"/>
      <c r="BH262" s="35"/>
      <c r="BI262" s="227"/>
      <c r="BJ262" s="227"/>
      <c r="BK262" s="227"/>
      <c r="BL262" s="227"/>
      <c r="BM262" s="227"/>
      <c r="BN262" s="227"/>
      <c r="BO262" s="227"/>
      <c r="BP262" s="227"/>
      <c r="BQ262" s="227"/>
      <c r="BR262" s="227"/>
      <c r="BS262" s="227"/>
      <c r="BT262" s="227"/>
      <c r="BU262" s="227"/>
    </row>
    <row r="263" spans="1:108" ht="3.95" customHeight="1" x14ac:dyDescent="0.2">
      <c r="C263" s="16"/>
      <c r="D263" s="207"/>
      <c r="E263" s="167"/>
      <c r="F263" s="167"/>
      <c r="G263" s="178"/>
      <c r="H263" s="168"/>
      <c r="I263" s="174"/>
      <c r="J263" s="5"/>
      <c r="K263" s="9"/>
      <c r="L263" s="27"/>
      <c r="M263" s="12"/>
      <c r="N263" s="9"/>
      <c r="O263" s="27"/>
      <c r="T263" s="227"/>
      <c r="U263" s="227"/>
      <c r="V263" s="227"/>
      <c r="W263" s="227"/>
      <c r="X263" s="227"/>
      <c r="Y263" s="227"/>
      <c r="Z263" s="227"/>
      <c r="AA263" s="35"/>
      <c r="AB263" s="34"/>
      <c r="AC263" s="34"/>
      <c r="AD263" s="34"/>
      <c r="AE263" s="34"/>
      <c r="AF263" s="227"/>
      <c r="AG263" s="34"/>
      <c r="AH263" s="34"/>
      <c r="AI263" s="34"/>
      <c r="AJ263" s="34"/>
      <c r="AK263" s="227"/>
      <c r="AL263" s="34"/>
      <c r="AM263" s="34"/>
      <c r="AN263" s="34"/>
      <c r="AO263" s="34"/>
      <c r="AP263" s="227"/>
      <c r="AQ263" s="34"/>
      <c r="AR263" s="34"/>
      <c r="AS263" s="34"/>
      <c r="AT263" s="34"/>
      <c r="AU263" s="227"/>
      <c r="AV263" s="34"/>
      <c r="AW263" s="34"/>
      <c r="AX263" s="34"/>
      <c r="AY263" s="34"/>
      <c r="AZ263" s="227"/>
      <c r="BA263" s="34"/>
      <c r="BB263" s="34"/>
      <c r="BC263" s="34"/>
      <c r="BD263" s="34"/>
      <c r="BE263" s="227"/>
      <c r="BF263" s="227"/>
      <c r="BG263" s="227"/>
      <c r="BH263" s="35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7"/>
      <c r="BU263" s="227"/>
    </row>
    <row r="264" spans="1:108" ht="12.75" customHeight="1" x14ac:dyDescent="0.2">
      <c r="A264" s="1"/>
      <c r="C264" s="216" t="s">
        <v>286</v>
      </c>
      <c r="D264" s="225"/>
      <c r="E264" s="172"/>
      <c r="F264" s="172"/>
      <c r="G264" s="180"/>
      <c r="H264" s="200"/>
      <c r="I264" s="176"/>
      <c r="J264" s="66">
        <f t="shared" ref="J264:O265" si="278">J184</f>
        <v>94528.830426200628</v>
      </c>
      <c r="K264" s="390">
        <f t="shared" si="278"/>
        <v>18485.621013530508</v>
      </c>
      <c r="L264" s="391">
        <f t="shared" si="278"/>
        <v>50270.508115826051</v>
      </c>
      <c r="M264" s="392">
        <f t="shared" si="278"/>
        <v>629414.35159235157</v>
      </c>
      <c r="N264" s="390">
        <f t="shared" si="278"/>
        <v>13852.26190009337</v>
      </c>
      <c r="O264" s="391">
        <f t="shared" si="278"/>
        <v>9205.6613511883988</v>
      </c>
      <c r="T264" s="227"/>
      <c r="U264" s="227"/>
      <c r="V264" s="227"/>
      <c r="W264" s="227"/>
      <c r="X264" s="227"/>
      <c r="Y264" s="227"/>
      <c r="Z264" s="227"/>
      <c r="AA264" s="227"/>
      <c r="AB264" s="36"/>
      <c r="AC264" s="36"/>
      <c r="AD264" s="36"/>
      <c r="AE264" s="36"/>
      <c r="AF264" s="227"/>
      <c r="AG264" s="36"/>
      <c r="AH264" s="36"/>
      <c r="AI264" s="36"/>
      <c r="AJ264" s="36"/>
      <c r="AK264" s="227"/>
      <c r="AL264" s="36"/>
      <c r="AM264" s="36"/>
      <c r="AN264" s="36"/>
      <c r="AO264" s="36"/>
      <c r="AP264" s="227"/>
      <c r="AQ264" s="36"/>
      <c r="AR264" s="36"/>
      <c r="AS264" s="36"/>
      <c r="AT264" s="36"/>
      <c r="AU264" s="227"/>
      <c r="AV264" s="36"/>
      <c r="AW264" s="36"/>
      <c r="AX264" s="36"/>
      <c r="AY264" s="36"/>
      <c r="AZ264" s="227"/>
      <c r="BA264" s="36"/>
      <c r="BB264" s="36"/>
      <c r="BC264" s="36"/>
      <c r="BD264" s="36"/>
      <c r="BE264" s="227"/>
      <c r="BF264" s="227"/>
      <c r="BG264" s="227"/>
      <c r="BH264" s="227"/>
      <c r="BI264" s="227"/>
      <c r="BJ264" s="227"/>
      <c r="BK264" s="227"/>
      <c r="BL264" s="227"/>
      <c r="BM264" s="227"/>
      <c r="BN264" s="227"/>
      <c r="BO264" s="227"/>
      <c r="BP264" s="227"/>
      <c r="BQ264" s="227"/>
      <c r="BR264" s="227"/>
      <c r="BS264" s="227"/>
      <c r="BT264" s="227"/>
      <c r="BU264" s="227"/>
    </row>
    <row r="265" spans="1:108" ht="12.75" customHeight="1" x14ac:dyDescent="0.2">
      <c r="C265" s="147" t="str">
        <f>CONCATENATE("Idem referentie ",$F$10)</f>
        <v>Idem referentie (2) appartementen</v>
      </c>
      <c r="D265" s="226"/>
      <c r="E265" s="210"/>
      <c r="F265" s="210"/>
      <c r="G265" s="179"/>
      <c r="H265" s="198"/>
      <c r="I265" s="209"/>
      <c r="J265" s="153">
        <f t="shared" si="278"/>
        <v>155392.42446261062</v>
      </c>
      <c r="K265" s="138">
        <f t="shared" si="278"/>
        <v>31764.26641883895</v>
      </c>
      <c r="L265" s="139">
        <f t="shared" si="278"/>
        <v>98814.521748645493</v>
      </c>
      <c r="M265" s="140">
        <f t="shared" si="278"/>
        <v>1096708.6614134558</v>
      </c>
      <c r="N265" s="138">
        <f t="shared" si="278"/>
        <v>28177.722637075942</v>
      </c>
      <c r="O265" s="139">
        <f t="shared" si="278"/>
        <v>18232.564917803487</v>
      </c>
      <c r="T265" s="227"/>
      <c r="U265" s="227"/>
      <c r="V265" s="227"/>
      <c r="W265" s="227"/>
      <c r="X265" s="227"/>
      <c r="Y265" s="227"/>
      <c r="Z265" s="227"/>
      <c r="AA265" s="227"/>
      <c r="AB265" s="35"/>
      <c r="AC265" s="35"/>
      <c r="AD265" s="35"/>
      <c r="AE265" s="35"/>
      <c r="AF265" s="227"/>
      <c r="AG265" s="35"/>
      <c r="AH265" s="35"/>
      <c r="AI265" s="35"/>
      <c r="AJ265" s="35"/>
      <c r="AK265" s="227"/>
      <c r="AL265" s="35"/>
      <c r="AM265" s="35"/>
      <c r="AN265" s="35"/>
      <c r="AO265" s="35"/>
      <c r="AP265" s="227"/>
      <c r="AQ265" s="35"/>
      <c r="AR265" s="35"/>
      <c r="AS265" s="35"/>
      <c r="AT265" s="35"/>
      <c r="AU265" s="227"/>
      <c r="AV265" s="35"/>
      <c r="AW265" s="35"/>
      <c r="AX265" s="35"/>
      <c r="AY265" s="35"/>
      <c r="AZ265" s="227"/>
      <c r="BA265" s="35"/>
      <c r="BB265" s="35"/>
      <c r="BC265" s="35"/>
      <c r="BD265" s="35"/>
      <c r="BE265" s="227"/>
      <c r="BF265" s="227"/>
      <c r="BG265" s="227"/>
      <c r="BH265" s="227"/>
      <c r="BI265" s="227"/>
      <c r="BJ265" s="227"/>
      <c r="BK265" s="227"/>
      <c r="BL265" s="227"/>
      <c r="BM265" s="227"/>
      <c r="BN265" s="227"/>
      <c r="BO265" s="227"/>
      <c r="BP265" s="227"/>
      <c r="BQ265" s="227"/>
      <c r="BR265" s="227"/>
      <c r="BS265" s="227"/>
      <c r="BT265" s="227"/>
      <c r="BU265" s="227"/>
    </row>
    <row r="266" spans="1:108" x14ac:dyDescent="0.2">
      <c r="I266" s="203"/>
      <c r="T266" s="227"/>
      <c r="U266" s="227"/>
      <c r="V266" s="227"/>
      <c r="W266" s="227"/>
      <c r="X266" s="227"/>
      <c r="Y266" s="227"/>
      <c r="Z266" s="227"/>
      <c r="AA266" s="227"/>
      <c r="AB266" s="34"/>
      <c r="AC266" s="34"/>
      <c r="AD266" s="34"/>
      <c r="AE266" s="34"/>
      <c r="AF266" s="227"/>
      <c r="AG266" s="34"/>
      <c r="AH266" s="34"/>
      <c r="AI266" s="34"/>
      <c r="AJ266" s="34"/>
      <c r="AK266" s="227"/>
      <c r="AL266" s="34"/>
      <c r="AM266" s="34"/>
      <c r="AN266" s="34"/>
      <c r="AO266" s="34"/>
      <c r="AP266" s="227"/>
      <c r="AQ266" s="34"/>
      <c r="AR266" s="34"/>
      <c r="AS266" s="34"/>
      <c r="AT266" s="34"/>
      <c r="AU266" s="227"/>
      <c r="AV266" s="34"/>
      <c r="AW266" s="34"/>
      <c r="AX266" s="34"/>
      <c r="AY266" s="34"/>
      <c r="AZ266" s="227"/>
      <c r="BA266" s="34"/>
      <c r="BB266" s="34"/>
      <c r="BC266" s="34"/>
      <c r="BD266" s="34"/>
      <c r="BE266" s="227"/>
      <c r="BF266" s="227"/>
      <c r="BG266" s="227"/>
      <c r="BH266" s="227"/>
      <c r="BI266" s="227"/>
      <c r="BJ266" s="227"/>
      <c r="BK266" s="227"/>
      <c r="BL266" s="227"/>
      <c r="BM266" s="227"/>
      <c r="BN266" s="227"/>
      <c r="BO266" s="227"/>
      <c r="BP266" s="227"/>
      <c r="BQ266" s="227"/>
      <c r="BR266" s="227"/>
      <c r="BS266" s="227"/>
      <c r="BT266" s="227"/>
      <c r="BU266" s="227"/>
    </row>
    <row r="267" spans="1:108" x14ac:dyDescent="0.2">
      <c r="G267" s="3"/>
      <c r="I267" s="203"/>
      <c r="T267" s="227"/>
      <c r="U267" s="227"/>
      <c r="V267" s="227"/>
      <c r="W267" s="227"/>
      <c r="X267" s="227"/>
      <c r="Y267" s="227"/>
      <c r="Z267" s="227"/>
      <c r="AA267" s="227"/>
      <c r="AB267" s="227"/>
      <c r="AC267" s="227"/>
      <c r="AD267" s="227"/>
      <c r="AE267" s="227"/>
      <c r="AF267" s="227"/>
      <c r="AG267" s="227"/>
      <c r="AH267" s="227"/>
      <c r="AI267" s="227"/>
      <c r="AJ267" s="227"/>
      <c r="AK267" s="227"/>
      <c r="AL267" s="227"/>
      <c r="AM267" s="227"/>
      <c r="AN267" s="227"/>
      <c r="AO267" s="227"/>
      <c r="AP267" s="227"/>
      <c r="AQ267" s="227"/>
      <c r="AR267" s="227"/>
      <c r="AS267" s="227"/>
      <c r="AT267" s="227"/>
      <c r="AU267" s="227"/>
      <c r="AV267" s="227"/>
      <c r="AW267" s="227"/>
      <c r="AX267" s="227"/>
      <c r="AY267" s="227"/>
      <c r="AZ267" s="227"/>
      <c r="BA267" s="227"/>
      <c r="BB267" s="227"/>
      <c r="BC267" s="227"/>
      <c r="BD267" s="227"/>
      <c r="BE267" s="227"/>
      <c r="BF267" s="227"/>
      <c r="BG267" s="227"/>
      <c r="BH267" s="227"/>
      <c r="BI267" s="227"/>
      <c r="BJ267" s="227"/>
      <c r="BK267" s="227"/>
      <c r="BL267" s="227"/>
      <c r="BM267" s="227"/>
      <c r="BN267" s="227"/>
      <c r="BO267" s="227"/>
      <c r="BP267" s="227"/>
      <c r="BQ267" s="227"/>
      <c r="BR267" s="227"/>
      <c r="BS267" s="227"/>
      <c r="BT267" s="227"/>
      <c r="BU267" s="227"/>
    </row>
    <row r="299" spans="33:68" x14ac:dyDescent="0.2"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H299" s="79"/>
      <c r="BI299" s="95"/>
      <c r="BJ299" s="56"/>
      <c r="BL299" s="35"/>
      <c r="BM299" s="35"/>
      <c r="BN299" s="35"/>
      <c r="BO299" s="35"/>
      <c r="BP299" s="35"/>
    </row>
  </sheetData>
  <sheetProtection password="D087" sheet="1" objects="1" scenarios="1" formatCells="0" formatColumns="0" formatRows="0" insertColumns="0" insertRows="0" insertHyperlinks="0" deleteColumns="0" deleteRows="0" sort="0" autoFilter="0" pivotTables="0"/>
  <mergeCells count="260">
    <mergeCell ref="CM248:CR248"/>
    <mergeCell ref="CM251:CR251"/>
    <mergeCell ref="CM254:CR254"/>
    <mergeCell ref="CM257:CR257"/>
    <mergeCell ref="CM237:CR237"/>
    <mergeCell ref="CM238:CR238"/>
    <mergeCell ref="CM239:CR239"/>
    <mergeCell ref="CM241:CR241"/>
    <mergeCell ref="CM242:CR242"/>
    <mergeCell ref="CM243:CR243"/>
    <mergeCell ref="CM244:CR244"/>
    <mergeCell ref="CM245:CR245"/>
    <mergeCell ref="CM246:CR246"/>
    <mergeCell ref="CM224:CR224"/>
    <mergeCell ref="CM225:CR225"/>
    <mergeCell ref="CM226:CR226"/>
    <mergeCell ref="CM228:CR228"/>
    <mergeCell ref="CM231:CR231"/>
    <mergeCell ref="CM232:CR232"/>
    <mergeCell ref="CM233:CR233"/>
    <mergeCell ref="CM234:CR234"/>
    <mergeCell ref="CM236:CR236"/>
    <mergeCell ref="D251:I251"/>
    <mergeCell ref="D254:I254"/>
    <mergeCell ref="D257:I257"/>
    <mergeCell ref="CM197:CR197"/>
    <mergeCell ref="CM198:CR198"/>
    <mergeCell ref="CM199:CR199"/>
    <mergeCell ref="CM200:CR200"/>
    <mergeCell ref="CM202:CR202"/>
    <mergeCell ref="CM203:CR203"/>
    <mergeCell ref="CM204:CR204"/>
    <mergeCell ref="CM205:CR205"/>
    <mergeCell ref="CM206:CR206"/>
    <mergeCell ref="CM208:CR208"/>
    <mergeCell ref="CM209:CR209"/>
    <mergeCell ref="CM210:CR210"/>
    <mergeCell ref="CM212:CR212"/>
    <mergeCell ref="CM213:CR213"/>
    <mergeCell ref="CM214:CR214"/>
    <mergeCell ref="CM216:CR216"/>
    <mergeCell ref="CM217:CR217"/>
    <mergeCell ref="CM218:CR218"/>
    <mergeCell ref="CM220:CR220"/>
    <mergeCell ref="CM221:CR221"/>
    <mergeCell ref="CM222:CR222"/>
    <mergeCell ref="D238:I238"/>
    <mergeCell ref="D239:I239"/>
    <mergeCell ref="D241:I241"/>
    <mergeCell ref="D242:I242"/>
    <mergeCell ref="D243:I243"/>
    <mergeCell ref="D244:I244"/>
    <mergeCell ref="D245:I245"/>
    <mergeCell ref="D246:I246"/>
    <mergeCell ref="D248:I248"/>
    <mergeCell ref="D225:I225"/>
    <mergeCell ref="D226:I226"/>
    <mergeCell ref="D228:I228"/>
    <mergeCell ref="D231:I231"/>
    <mergeCell ref="D232:I232"/>
    <mergeCell ref="D233:I233"/>
    <mergeCell ref="D234:I234"/>
    <mergeCell ref="D236:I236"/>
    <mergeCell ref="D237:I237"/>
    <mergeCell ref="D213:I213"/>
    <mergeCell ref="D214:I214"/>
    <mergeCell ref="D216:I216"/>
    <mergeCell ref="D217:I217"/>
    <mergeCell ref="D218:I218"/>
    <mergeCell ref="D220:I220"/>
    <mergeCell ref="D221:I221"/>
    <mergeCell ref="D222:I222"/>
    <mergeCell ref="D224:I224"/>
    <mergeCell ref="D205:I205"/>
    <mergeCell ref="D206:I206"/>
    <mergeCell ref="D208:I208"/>
    <mergeCell ref="D209:I209"/>
    <mergeCell ref="D210:I210"/>
    <mergeCell ref="D212:I212"/>
    <mergeCell ref="CA197:CF197"/>
    <mergeCell ref="CA198:CF198"/>
    <mergeCell ref="CA199:CF199"/>
    <mergeCell ref="CA200:CF200"/>
    <mergeCell ref="CA202:CF202"/>
    <mergeCell ref="CA203:CF203"/>
    <mergeCell ref="CA204:CF204"/>
    <mergeCell ref="CA205:CF205"/>
    <mergeCell ref="CA206:CF206"/>
    <mergeCell ref="CA208:CF208"/>
    <mergeCell ref="CA209:CF209"/>
    <mergeCell ref="CA210:CF210"/>
    <mergeCell ref="CA212:CF212"/>
    <mergeCell ref="F10:H10"/>
    <mergeCell ref="F11:H11"/>
    <mergeCell ref="D197:I197"/>
    <mergeCell ref="D198:I198"/>
    <mergeCell ref="D199:I199"/>
    <mergeCell ref="D200:I200"/>
    <mergeCell ref="D202:I202"/>
    <mergeCell ref="D203:I203"/>
    <mergeCell ref="D204:I204"/>
    <mergeCell ref="CA220:CF220"/>
    <mergeCell ref="CA221:CF221"/>
    <mergeCell ref="CA222:CF222"/>
    <mergeCell ref="CA224:CF224"/>
    <mergeCell ref="CA225:CF225"/>
    <mergeCell ref="CA213:CF213"/>
    <mergeCell ref="CA214:CF214"/>
    <mergeCell ref="CA216:CF216"/>
    <mergeCell ref="CA217:CF217"/>
    <mergeCell ref="CA218:CF218"/>
    <mergeCell ref="CA234:CF234"/>
    <mergeCell ref="CA236:CF236"/>
    <mergeCell ref="CA237:CF237"/>
    <mergeCell ref="CA238:CF238"/>
    <mergeCell ref="CA239:CF239"/>
    <mergeCell ref="CA226:CF226"/>
    <mergeCell ref="CA228:CF228"/>
    <mergeCell ref="CA231:CF231"/>
    <mergeCell ref="CA232:CF232"/>
    <mergeCell ref="CA233:CF233"/>
    <mergeCell ref="CA246:CF246"/>
    <mergeCell ref="CA248:CF248"/>
    <mergeCell ref="CA251:CF251"/>
    <mergeCell ref="CA254:CF254"/>
    <mergeCell ref="CA257:CF257"/>
    <mergeCell ref="CA241:CF241"/>
    <mergeCell ref="CA242:CF242"/>
    <mergeCell ref="CA243:CF243"/>
    <mergeCell ref="CA244:CF244"/>
    <mergeCell ref="CA245:CF245"/>
    <mergeCell ref="CG203:CL203"/>
    <mergeCell ref="CG204:CL204"/>
    <mergeCell ref="CG205:CL205"/>
    <mergeCell ref="CG206:CL206"/>
    <mergeCell ref="CG208:CL208"/>
    <mergeCell ref="CG197:CL197"/>
    <mergeCell ref="CG198:CL198"/>
    <mergeCell ref="CG199:CL199"/>
    <mergeCell ref="CG200:CL200"/>
    <mergeCell ref="CG202:CL202"/>
    <mergeCell ref="CG216:CL216"/>
    <mergeCell ref="CG217:CL217"/>
    <mergeCell ref="CG218:CL218"/>
    <mergeCell ref="CG220:CL220"/>
    <mergeCell ref="CG221:CL221"/>
    <mergeCell ref="CG209:CL209"/>
    <mergeCell ref="CG210:CL210"/>
    <mergeCell ref="CG212:CL212"/>
    <mergeCell ref="CG213:CL213"/>
    <mergeCell ref="CG214:CL214"/>
    <mergeCell ref="CG231:CL231"/>
    <mergeCell ref="CG232:CL232"/>
    <mergeCell ref="CG233:CL233"/>
    <mergeCell ref="CG234:CL234"/>
    <mergeCell ref="CG236:CL236"/>
    <mergeCell ref="CG222:CL222"/>
    <mergeCell ref="CG224:CL224"/>
    <mergeCell ref="CG225:CL225"/>
    <mergeCell ref="CG226:CL226"/>
    <mergeCell ref="CG228:CL228"/>
    <mergeCell ref="CG251:CL251"/>
    <mergeCell ref="CG254:CL254"/>
    <mergeCell ref="CG257:CL257"/>
    <mergeCell ref="CG243:CL243"/>
    <mergeCell ref="CG244:CL244"/>
    <mergeCell ref="CG245:CL245"/>
    <mergeCell ref="CG246:CL246"/>
    <mergeCell ref="CG248:CL248"/>
    <mergeCell ref="CG237:CL237"/>
    <mergeCell ref="CG238:CL238"/>
    <mergeCell ref="CG239:CL239"/>
    <mergeCell ref="CG241:CL241"/>
    <mergeCell ref="CG242:CL242"/>
    <mergeCell ref="CS197:CX197"/>
    <mergeCell ref="CS198:CX198"/>
    <mergeCell ref="CS199:CX199"/>
    <mergeCell ref="CS200:CX200"/>
    <mergeCell ref="CS202:CX202"/>
    <mergeCell ref="CS203:CX203"/>
    <mergeCell ref="CS204:CX204"/>
    <mergeCell ref="CS205:CX205"/>
    <mergeCell ref="CS206:CX206"/>
    <mergeCell ref="CS208:CX208"/>
    <mergeCell ref="CS209:CX209"/>
    <mergeCell ref="CS210:CX210"/>
    <mergeCell ref="CS212:CX212"/>
    <mergeCell ref="CS213:CX213"/>
    <mergeCell ref="CS214:CX214"/>
    <mergeCell ref="CS216:CX216"/>
    <mergeCell ref="CS217:CX217"/>
    <mergeCell ref="CS218:CX218"/>
    <mergeCell ref="CS220:CX220"/>
    <mergeCell ref="CS221:CX221"/>
    <mergeCell ref="CS222:CX222"/>
    <mergeCell ref="CS224:CX224"/>
    <mergeCell ref="CS225:CX225"/>
    <mergeCell ref="CS226:CX226"/>
    <mergeCell ref="CS228:CX228"/>
    <mergeCell ref="CS231:CX231"/>
    <mergeCell ref="CS232:CX232"/>
    <mergeCell ref="CS233:CX233"/>
    <mergeCell ref="CS234:CX234"/>
    <mergeCell ref="CS236:CX236"/>
    <mergeCell ref="CS237:CX237"/>
    <mergeCell ref="CS238:CX238"/>
    <mergeCell ref="CS239:CX239"/>
    <mergeCell ref="CS241:CX241"/>
    <mergeCell ref="CS242:CX242"/>
    <mergeCell ref="CS243:CX243"/>
    <mergeCell ref="CS244:CX244"/>
    <mergeCell ref="CS245:CX245"/>
    <mergeCell ref="CS246:CX246"/>
    <mergeCell ref="CS248:CX248"/>
    <mergeCell ref="CS251:CX251"/>
    <mergeCell ref="CS254:CX254"/>
    <mergeCell ref="CS257:CX257"/>
    <mergeCell ref="CY197:DD197"/>
    <mergeCell ref="CY198:DD198"/>
    <mergeCell ref="CY199:DD199"/>
    <mergeCell ref="CY200:DD200"/>
    <mergeCell ref="CY202:DD202"/>
    <mergeCell ref="CY203:DD203"/>
    <mergeCell ref="CY204:DD204"/>
    <mergeCell ref="CY205:DD205"/>
    <mergeCell ref="CY206:DD206"/>
    <mergeCell ref="CY208:DD208"/>
    <mergeCell ref="CY209:DD209"/>
    <mergeCell ref="CY210:DD210"/>
    <mergeCell ref="CY212:DD212"/>
    <mergeCell ref="CY213:DD213"/>
    <mergeCell ref="CY214:DD214"/>
    <mergeCell ref="CY216:DD216"/>
    <mergeCell ref="CY217:DD217"/>
    <mergeCell ref="CY218:DD218"/>
    <mergeCell ref="CY220:DD220"/>
    <mergeCell ref="CY221:DD221"/>
    <mergeCell ref="CY222:DD222"/>
    <mergeCell ref="CY224:DD224"/>
    <mergeCell ref="CY225:DD225"/>
    <mergeCell ref="CY226:DD226"/>
    <mergeCell ref="CY228:DD228"/>
    <mergeCell ref="CY231:DD231"/>
    <mergeCell ref="CY243:DD243"/>
    <mergeCell ref="CY244:DD244"/>
    <mergeCell ref="CY245:DD245"/>
    <mergeCell ref="CY246:DD246"/>
    <mergeCell ref="CY248:DD248"/>
    <mergeCell ref="CY251:DD251"/>
    <mergeCell ref="CY254:DD254"/>
    <mergeCell ref="CY257:DD257"/>
    <mergeCell ref="CY232:DD232"/>
    <mergeCell ref="CY233:DD233"/>
    <mergeCell ref="CY234:DD234"/>
    <mergeCell ref="CY236:DD236"/>
    <mergeCell ref="CY237:DD237"/>
    <mergeCell ref="CY238:DD238"/>
    <mergeCell ref="CY239:DD239"/>
    <mergeCell ref="CY241:DD241"/>
    <mergeCell ref="CY242:DD242"/>
  </mergeCells>
  <conditionalFormatting sqref="C60">
    <cfRule type="containsText" dxfId="2" priority="3" operator="containsText" text="PAS OP!">
      <formula>NOT(ISERROR(SEARCH("PAS OP!",C60)))</formula>
    </cfRule>
  </conditionalFormatting>
  <conditionalFormatting sqref="C112">
    <cfRule type="containsText" dxfId="1" priority="2" operator="containsText" text="PAS OP!">
      <formula>NOT(ISERROR(SEARCH("PAS OP!",C112)))</formula>
    </cfRule>
  </conditionalFormatting>
  <conditionalFormatting sqref="C192">
    <cfRule type="containsText" dxfId="0" priority="1" operator="containsText" text="PAS OP!">
      <formula>NOT(ISERROR(SEARCH("PAS OP!",C192)))</formula>
    </cfRule>
  </conditionalFormatting>
  <dataValidations count="3">
    <dataValidation type="list" allowBlank="1" showInputMessage="1" showErrorMessage="1" sqref="CC84:CC89 CC74:CC76 CC81:CC82 CC78:CC79 CO84:CO89 CO74:CO76 CO81:CO82 CO78:CO79 CI84:CI89 CI74:CI76 CI81:CI82 CI78:CI79 DA84:DA89 DA74:DA76 DA81:DA82 DA78:DA79 CU84:CU89 CU74:CU76 CU81:CU82 CU78:CU79 F84:F89 F74:F76 F81:F82 F78:F79">
      <formula1>$T74:$Y74</formula1>
    </dataValidation>
    <dataValidation type="list" allowBlank="1" showInputMessage="1" showErrorMessage="1" sqref="F10">
      <formula1>$T10:$X10</formula1>
    </dataValidation>
    <dataValidation type="list" allowBlank="1" showInputMessage="1" showErrorMessage="1" sqref="CA231:CA234 CA228 CA224:CA226 CA220:CA222 CA216:CA218 CA212:CA214 CA208:CA210 CA202:CA206 CA257 CA254 CA251 CA248 CA241:CA246 CA197:CA200 CG231:CG234 CG228 CG224:CG226 CG220:CG222 CG216:CG218 CG212:CG214 CG208:CG210 CG202:CG206 CG257 CG254 CG251 CG248 CG241:CG246 CG197:CG200 CM231:CM234 CM228 CM224:CM226 CM220:CM222 CM216:CM218 CM212:CM214 CM208:CM210 CM202:CM206 CM257 CM254 CM251 CM248 CM241:CM246 CM197:CM200 CY231:CY234 CY228 CY224:CY226 CY220:CY222 CY216:CY218 CY212:CY214 CY208:CY210 CY202:CY206 CY257 CY254 CY251 CY248 CY241:CY246 CY197:CY200 CS231:CS234 CS228 CS224:CS226 CS220:CS222 CS216:CS218 CS212:CS214 CS208:CS210 CS202:CS206 CS257 CS254 CS251 CS248 CS241:CS246 CS197:CS200 D231:D234 D228 D224:D226 D220:D222 D216:D218 D212:D214 D208:D210 D202:D206 D257 D254 D251 D248 D241:D246 D197:D200">
      <formula1>$T117:$Y117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60" fitToHeight="3" orientation="portrait" r:id="rId1"/>
  <headerFooter>
    <oddHeader>&amp;CBouwproject-economie.nl</oddHeader>
    <oddFooter>&amp;C&amp;F - &amp;A - &amp;P/&amp;N</oddFooter>
  </headerFooter>
  <rowBreaks count="2" manualBreakCount="2">
    <brk id="106" min="2" max="14" man="1"/>
    <brk id="186" min="2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9" r:id="rId4" name="Button 185">
              <controlPr defaultSize="0" print="0" autoFill="0" autoPict="0" macro="[0]!Macro1">
                <anchor moveWithCells="1">
                  <from>
                    <xdr:col>5</xdr:col>
                    <xdr:colOff>38100</xdr:colOff>
                    <xdr:row>13</xdr:row>
                    <xdr:rowOff>38100</xdr:rowOff>
                  </from>
                  <to>
                    <xdr:col>9</xdr:col>
                    <xdr:colOff>171450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" name="Button 1113">
              <controlPr defaultSize="0" print="0" autoFill="0" autoPict="0" macro="[0]!Macro2">
                <anchor moveWithCells="1">
                  <from>
                    <xdr:col>5</xdr:col>
                    <xdr:colOff>38100</xdr:colOff>
                    <xdr:row>20</xdr:row>
                    <xdr:rowOff>47625</xdr:rowOff>
                  </from>
                  <to>
                    <xdr:col>9</xdr:col>
                    <xdr:colOff>171450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6" name="Button 1114">
              <controlPr defaultSize="0" print="0" autoFill="0" autoPict="0" macro="[0]!Macro3">
                <anchor moveWithCells="1">
                  <from>
                    <xdr:col>5</xdr:col>
                    <xdr:colOff>76200</xdr:colOff>
                    <xdr:row>59</xdr:row>
                    <xdr:rowOff>28575</xdr:rowOff>
                  </from>
                  <to>
                    <xdr:col>9</xdr:col>
                    <xdr:colOff>209550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" name="Button 1115">
              <controlPr defaultSize="0" print="0" autoFill="0" autoPict="0" macro="[0]!Macro4">
                <anchor moveWithCells="1">
                  <from>
                    <xdr:col>5</xdr:col>
                    <xdr:colOff>95250</xdr:colOff>
                    <xdr:row>111</xdr:row>
                    <xdr:rowOff>9525</xdr:rowOff>
                  </from>
                  <to>
                    <xdr:col>9</xdr:col>
                    <xdr:colOff>228600</xdr:colOff>
                    <xdr:row>111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" name="Button 1116">
              <controlPr defaultSize="0" print="0" autoFill="0" autoPict="0" macro="[0]!Macro5">
                <anchor moveWithCells="1">
                  <from>
                    <xdr:col>5</xdr:col>
                    <xdr:colOff>9525</xdr:colOff>
                    <xdr:row>191</xdr:row>
                    <xdr:rowOff>28575</xdr:rowOff>
                  </from>
                  <to>
                    <xdr:col>9</xdr:col>
                    <xdr:colOff>142875</xdr:colOff>
                    <xdr:row>191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Z267"/>
  <sheetViews>
    <sheetView showGridLines="0" zoomScale="80" zoomScaleNormal="80" workbookViewId="0">
      <selection activeCell="M28" sqref="M28"/>
    </sheetView>
  </sheetViews>
  <sheetFormatPr defaultRowHeight="12.75" x14ac:dyDescent="0.2"/>
  <cols>
    <col min="1" max="1" width="5.140625" style="2" customWidth="1"/>
    <col min="2" max="2" width="1.5703125" style="33" customWidth="1"/>
    <col min="3" max="3" width="26.7109375" style="4" customWidth="1"/>
    <col min="4" max="4" width="10.7109375" style="2" customWidth="1"/>
    <col min="5" max="5" width="0.85546875" style="2" customWidth="1"/>
    <col min="6" max="7" width="8.7109375" style="2" customWidth="1"/>
    <col min="8" max="8" width="6.7109375" style="4" customWidth="1"/>
    <col min="9" max="9" width="0.85546875" style="4" customWidth="1"/>
    <col min="10" max="14" width="15.7109375" style="3" customWidth="1"/>
    <col min="15" max="15" width="16.7109375" style="3" customWidth="1"/>
    <col min="16" max="16" width="9.140625" style="2"/>
    <col min="17" max="17" width="9.140625" style="2" hidden="1" customWidth="1"/>
    <col min="18" max="18" width="2.5703125" style="2" hidden="1" customWidth="1"/>
    <col min="19" max="19" width="9.140625" style="2" hidden="1" customWidth="1"/>
    <col min="20" max="25" width="33.7109375" style="2" hidden="1" customWidth="1"/>
    <col min="26" max="26" width="9.85546875" style="2" hidden="1" customWidth="1"/>
    <col min="27" max="130" width="9.140625" style="2" hidden="1" customWidth="1"/>
    <col min="131" max="16384" width="9.140625" style="2"/>
  </cols>
  <sheetData>
    <row r="1" spans="3:99" ht="18" x14ac:dyDescent="0.25">
      <c r="C1" s="107" t="s">
        <v>45</v>
      </c>
    </row>
    <row r="2" spans="3:99" ht="18" x14ac:dyDescent="0.25">
      <c r="C2" s="107"/>
    </row>
    <row r="5" spans="3:99" ht="12.75" customHeight="1" x14ac:dyDescent="0.25">
      <c r="C5" s="112" t="s">
        <v>434</v>
      </c>
      <c r="F5" s="3"/>
      <c r="G5" s="3"/>
    </row>
    <row r="6" spans="3:99" ht="12.75" customHeight="1" x14ac:dyDescent="0.2"/>
    <row r="7" spans="3:99" ht="12.75" customHeight="1" x14ac:dyDescent="0.2">
      <c r="C7" s="165" t="s">
        <v>433</v>
      </c>
      <c r="D7" s="213"/>
      <c r="E7" s="108"/>
      <c r="F7" s="258" t="s">
        <v>180</v>
      </c>
      <c r="G7" s="85"/>
      <c r="H7" s="185"/>
      <c r="I7" s="86"/>
      <c r="J7" s="201" t="s">
        <v>213</v>
      </c>
      <c r="K7" s="85"/>
      <c r="L7" s="85"/>
      <c r="M7" s="85"/>
      <c r="N7" s="85"/>
      <c r="O7" s="86"/>
    </row>
    <row r="8" spans="3:99" ht="12.75" customHeight="1" x14ac:dyDescent="0.2">
      <c r="C8" s="141" t="str">
        <f>$F$11</f>
        <v>2012-07-01 Voorbeeld 1</v>
      </c>
      <c r="D8" s="90"/>
      <c r="E8" s="111"/>
      <c r="F8" s="142" t="s">
        <v>149</v>
      </c>
      <c r="G8" s="142"/>
      <c r="H8" s="195"/>
      <c r="I8" s="90"/>
      <c r="J8" s="142"/>
      <c r="K8" s="142"/>
      <c r="L8" s="142"/>
      <c r="M8" s="142"/>
      <c r="N8" s="142"/>
      <c r="O8" s="90"/>
      <c r="T8" s="50"/>
      <c r="U8" s="50"/>
      <c r="V8" s="50"/>
      <c r="W8" s="50"/>
      <c r="X8" s="50"/>
    </row>
    <row r="9" spans="3:99" ht="12.75" customHeight="1" x14ac:dyDescent="0.2">
      <c r="C9" s="143" t="s">
        <v>257</v>
      </c>
      <c r="D9" s="214"/>
      <c r="E9" s="160"/>
      <c r="F9" s="177"/>
      <c r="G9" s="177"/>
      <c r="H9" s="196"/>
      <c r="I9" s="197"/>
      <c r="J9" s="188"/>
      <c r="K9" s="29"/>
      <c r="L9" s="29"/>
      <c r="M9" s="29"/>
      <c r="N9" s="29"/>
      <c r="O9" s="155"/>
      <c r="T9" s="51"/>
      <c r="U9" s="51"/>
      <c r="V9" s="51"/>
      <c r="W9" s="51"/>
      <c r="X9" s="51"/>
    </row>
    <row r="10" spans="3:99" ht="12.75" customHeight="1" x14ac:dyDescent="0.2">
      <c r="C10" s="145" t="s">
        <v>30</v>
      </c>
      <c r="D10" s="191"/>
      <c r="E10" s="109"/>
      <c r="F10" s="259" t="str">
        <f>Stappen!F10</f>
        <v>(2) appartementen</v>
      </c>
      <c r="G10" s="178"/>
      <c r="H10" s="133"/>
      <c r="I10" s="197"/>
      <c r="J10" s="145" t="s">
        <v>426</v>
      </c>
      <c r="K10" s="30"/>
      <c r="L10" s="30"/>
      <c r="M10" s="30"/>
      <c r="N10" s="30"/>
      <c r="O10" s="156"/>
      <c r="T10" s="74"/>
      <c r="U10" s="74"/>
      <c r="V10" s="74"/>
      <c r="W10" s="74"/>
      <c r="X10" s="74"/>
      <c r="CU10" s="2" t="s">
        <v>285</v>
      </c>
    </row>
    <row r="11" spans="3:99" x14ac:dyDescent="0.2">
      <c r="C11" s="145" t="s">
        <v>258</v>
      </c>
      <c r="D11" s="191"/>
      <c r="E11" s="194"/>
      <c r="F11" s="127" t="str">
        <f>Stappen!F11</f>
        <v>2012-07-01 Voorbeeld 1</v>
      </c>
      <c r="G11" s="178"/>
      <c r="H11" s="197"/>
      <c r="I11" s="197"/>
      <c r="J11" s="145"/>
      <c r="K11" s="19"/>
      <c r="L11" s="19"/>
      <c r="M11" s="19"/>
      <c r="N11" s="207"/>
      <c r="O11" s="191"/>
    </row>
    <row r="12" spans="3:99" ht="12.75" customHeight="1" x14ac:dyDescent="0.2">
      <c r="C12" s="146" t="s">
        <v>265</v>
      </c>
      <c r="D12" s="215"/>
      <c r="E12" s="161"/>
      <c r="F12" s="178"/>
      <c r="G12" s="178"/>
      <c r="H12" s="197"/>
      <c r="I12" s="197"/>
      <c r="J12" s="192"/>
      <c r="K12" s="193"/>
      <c r="L12" s="193"/>
      <c r="M12" s="193"/>
      <c r="N12" s="193"/>
      <c r="O12" s="191"/>
    </row>
    <row r="13" spans="3:99" ht="12.75" customHeight="1" x14ac:dyDescent="0.2">
      <c r="C13" s="145" t="s">
        <v>266</v>
      </c>
      <c r="D13" s="191"/>
      <c r="E13" s="161"/>
      <c r="F13" s="127">
        <f>Stappen!G13</f>
        <v>150</v>
      </c>
      <c r="G13" s="178"/>
      <c r="H13" s="133" t="s">
        <v>22</v>
      </c>
      <c r="I13" s="197"/>
      <c r="J13" s="145" t="s">
        <v>427</v>
      </c>
      <c r="K13" s="30"/>
      <c r="L13" s="30"/>
      <c r="M13" s="30"/>
      <c r="N13" s="30"/>
      <c r="O13" s="156"/>
    </row>
    <row r="14" spans="3:99" ht="12.75" customHeight="1" x14ac:dyDescent="0.2">
      <c r="C14" s="422"/>
      <c r="D14" s="417"/>
      <c r="E14" s="418"/>
      <c r="F14" s="423"/>
      <c r="G14" s="419"/>
      <c r="H14" s="424"/>
      <c r="I14" s="420"/>
      <c r="J14" s="422"/>
      <c r="K14" s="421"/>
      <c r="L14" s="421"/>
      <c r="M14" s="421"/>
      <c r="N14" s="421"/>
      <c r="O14" s="421"/>
    </row>
    <row r="15" spans="3:99" ht="12.75" customHeight="1" x14ac:dyDescent="0.2">
      <c r="C15" s="145" t="s">
        <v>19</v>
      </c>
      <c r="D15" s="191"/>
      <c r="E15" s="161"/>
      <c r="F15" s="127">
        <f>Stappen!G15</f>
        <v>3</v>
      </c>
      <c r="G15" s="178"/>
      <c r="H15" s="133" t="s">
        <v>210</v>
      </c>
      <c r="I15" s="197"/>
      <c r="J15" s="145" t="s">
        <v>428</v>
      </c>
      <c r="K15" s="30"/>
      <c r="L15" s="30"/>
      <c r="M15" s="30"/>
      <c r="N15" s="30"/>
      <c r="O15" s="156"/>
    </row>
    <row r="16" spans="3:99" x14ac:dyDescent="0.2">
      <c r="C16" s="145" t="s">
        <v>24</v>
      </c>
      <c r="D16" s="191"/>
      <c r="E16" s="161"/>
      <c r="F16" s="127">
        <f>Stappen!G16</f>
        <v>220.09345794392524</v>
      </c>
      <c r="G16" s="178"/>
      <c r="H16" s="133" t="s">
        <v>22</v>
      </c>
      <c r="I16" s="197"/>
      <c r="J16" s="145" t="s">
        <v>429</v>
      </c>
      <c r="K16" s="30"/>
      <c r="L16" s="30"/>
      <c r="M16" s="30"/>
      <c r="N16" s="30"/>
      <c r="O16" s="156"/>
    </row>
    <row r="17" spans="1:74" x14ac:dyDescent="0.2">
      <c r="C17" s="145" t="s">
        <v>20</v>
      </c>
      <c r="D17" s="191"/>
      <c r="E17" s="161"/>
      <c r="F17" s="127">
        <f>Stappen!G17</f>
        <v>60.280373831775698</v>
      </c>
      <c r="G17" s="178"/>
      <c r="H17" s="133" t="s">
        <v>22</v>
      </c>
      <c r="I17" s="197"/>
      <c r="J17" s="145" t="s">
        <v>430</v>
      </c>
      <c r="K17" s="30"/>
      <c r="L17" s="30"/>
      <c r="M17" s="30"/>
      <c r="N17" s="30"/>
      <c r="O17" s="156"/>
    </row>
    <row r="18" spans="1:74" x14ac:dyDescent="0.2">
      <c r="C18" s="145" t="s">
        <v>25</v>
      </c>
      <c r="D18" s="191"/>
      <c r="E18" s="161"/>
      <c r="F18" s="178">
        <f>Stappen!G18</f>
        <v>159.81308411214954</v>
      </c>
      <c r="G18" s="178"/>
      <c r="H18" s="133" t="s">
        <v>22</v>
      </c>
      <c r="I18" s="197"/>
      <c r="J18" s="145" t="s">
        <v>431</v>
      </c>
      <c r="K18" s="30"/>
      <c r="L18" s="30"/>
      <c r="M18" s="30"/>
      <c r="N18" s="30"/>
      <c r="O18" s="156"/>
    </row>
    <row r="19" spans="1:74" x14ac:dyDescent="0.2">
      <c r="C19" s="145" t="s">
        <v>267</v>
      </c>
      <c r="D19" s="191"/>
      <c r="E19" s="161"/>
      <c r="F19" s="127">
        <f>Stappen!G19</f>
        <v>114.95327102803738</v>
      </c>
      <c r="G19" s="178"/>
      <c r="H19" s="133" t="s">
        <v>22</v>
      </c>
      <c r="I19" s="197"/>
      <c r="J19" s="145" t="s">
        <v>432</v>
      </c>
      <c r="K19" s="30"/>
      <c r="L19" s="30"/>
      <c r="M19" s="30"/>
      <c r="N19" s="30"/>
      <c r="O19" s="156"/>
    </row>
    <row r="20" spans="1:74" ht="3.95" customHeight="1" x14ac:dyDescent="0.2">
      <c r="C20" s="162"/>
      <c r="D20" s="169"/>
      <c r="E20" s="162"/>
      <c r="F20" s="169"/>
      <c r="G20" s="179"/>
      <c r="H20" s="198"/>
      <c r="I20" s="198"/>
      <c r="J20" s="159"/>
      <c r="K20" s="31"/>
      <c r="L20" s="31"/>
      <c r="M20" s="31"/>
      <c r="N20" s="31"/>
      <c r="O20" s="157"/>
    </row>
    <row r="21" spans="1:74" x14ac:dyDescent="0.2">
      <c r="C21" s="203"/>
      <c r="D21" s="203"/>
      <c r="F21" s="3"/>
      <c r="G21" s="3"/>
      <c r="I21" s="203"/>
    </row>
    <row r="22" spans="1:74" x14ac:dyDescent="0.2">
      <c r="A22" s="113"/>
      <c r="B22" s="114"/>
      <c r="C22" s="165" t="s">
        <v>199</v>
      </c>
      <c r="D22" s="213"/>
      <c r="E22" s="108"/>
      <c r="F22" s="246" t="s">
        <v>180</v>
      </c>
      <c r="G22" s="85"/>
      <c r="H22" s="185"/>
      <c r="I22" s="86"/>
      <c r="J22" s="395" t="s">
        <v>49</v>
      </c>
      <c r="K22" s="396" t="s">
        <v>37</v>
      </c>
      <c r="L22" s="397" t="s">
        <v>27</v>
      </c>
      <c r="M22" s="398" t="s">
        <v>28</v>
      </c>
      <c r="N22" s="396" t="s">
        <v>35</v>
      </c>
      <c r="O22" s="397" t="s">
        <v>36</v>
      </c>
      <c r="AB22" s="294" t="s">
        <v>49</v>
      </c>
      <c r="AC22" s="294"/>
      <c r="AD22" s="294"/>
      <c r="AE22" s="294"/>
      <c r="AF22" s="294"/>
      <c r="AG22" s="92" t="s">
        <v>37</v>
      </c>
      <c r="AH22" s="92"/>
      <c r="AI22" s="92"/>
      <c r="AJ22" s="92"/>
      <c r="AK22" s="92"/>
      <c r="AL22" s="300" t="s">
        <v>538</v>
      </c>
      <c r="AM22" s="300"/>
      <c r="AN22" s="300"/>
      <c r="AO22" s="300"/>
      <c r="AP22" s="300"/>
      <c r="AQ22" s="297" t="s">
        <v>28</v>
      </c>
      <c r="AR22" s="297"/>
      <c r="AS22" s="297"/>
      <c r="AT22" s="297"/>
      <c r="AU22" s="297"/>
      <c r="AV22" s="92" t="s">
        <v>35</v>
      </c>
      <c r="AW22" s="92"/>
      <c r="AX22" s="92"/>
      <c r="AY22" s="92"/>
      <c r="AZ22" s="92"/>
      <c r="BA22" s="300" t="s">
        <v>36</v>
      </c>
      <c r="BB22" s="300"/>
      <c r="BC22" s="300"/>
      <c r="BD22" s="300"/>
      <c r="BE22" s="300"/>
    </row>
    <row r="23" spans="1:74" x14ac:dyDescent="0.2">
      <c r="A23" s="113"/>
      <c r="B23" s="114"/>
      <c r="C23" s="141" t="str">
        <f>Stappen!$F$11</f>
        <v>2012-07-01 Voorbeeld 1</v>
      </c>
      <c r="D23" s="90"/>
      <c r="E23" s="111"/>
      <c r="F23" s="247" t="s">
        <v>149</v>
      </c>
      <c r="G23" s="142"/>
      <c r="H23" s="195"/>
      <c r="I23" s="90"/>
      <c r="J23" s="399" t="s">
        <v>402</v>
      </c>
      <c r="K23" s="400" t="str">
        <f>J23</f>
        <v>€ per 1-1-2012</v>
      </c>
      <c r="L23" s="401" t="s">
        <v>32</v>
      </c>
      <c r="M23" s="402" t="s">
        <v>33</v>
      </c>
      <c r="N23" s="400" t="s">
        <v>34</v>
      </c>
      <c r="O23" s="401" t="str">
        <f>J23</f>
        <v>€ per 1-1-2012</v>
      </c>
      <c r="AB23" s="295" t="s">
        <v>160</v>
      </c>
      <c r="AC23" s="296"/>
      <c r="AD23" s="296"/>
      <c r="AE23" s="296"/>
      <c r="AF23" s="296"/>
      <c r="AG23" s="87" t="s">
        <v>160</v>
      </c>
      <c r="AH23" s="88"/>
      <c r="AI23" s="88"/>
      <c r="AJ23" s="88"/>
      <c r="AK23" s="88"/>
      <c r="AL23" s="301" t="s">
        <v>160</v>
      </c>
      <c r="AM23" s="302"/>
      <c r="AN23" s="302"/>
      <c r="AO23" s="302"/>
      <c r="AP23" s="302"/>
      <c r="AQ23" s="298" t="s">
        <v>160</v>
      </c>
      <c r="AR23" s="299"/>
      <c r="AS23" s="299"/>
      <c r="AT23" s="299"/>
      <c r="AU23" s="299"/>
      <c r="AV23" s="87" t="s">
        <v>160</v>
      </c>
      <c r="AW23" s="88"/>
      <c r="AX23" s="88"/>
      <c r="AY23" s="88"/>
      <c r="AZ23" s="88"/>
      <c r="BA23" s="301" t="s">
        <v>160</v>
      </c>
      <c r="BB23" s="302"/>
      <c r="BC23" s="302"/>
      <c r="BD23" s="302"/>
      <c r="BE23" s="302"/>
      <c r="BF23" s="71"/>
      <c r="BG23" s="71"/>
      <c r="BH23" s="71"/>
      <c r="BI23" s="71" t="s">
        <v>148</v>
      </c>
      <c r="BJ23" s="72" t="s">
        <v>149</v>
      </c>
      <c r="BL23" s="73" t="s">
        <v>155</v>
      </c>
      <c r="BM23" s="72"/>
      <c r="BN23" s="72"/>
      <c r="BO23" s="72"/>
      <c r="BP23" s="72"/>
      <c r="BR23" s="73" t="s">
        <v>158</v>
      </c>
      <c r="BS23" s="72"/>
      <c r="BT23" s="72"/>
      <c r="BU23" s="72"/>
      <c r="BV23" s="72"/>
    </row>
    <row r="24" spans="1:74" x14ac:dyDescent="0.2">
      <c r="A24" s="113"/>
      <c r="B24" s="114"/>
      <c r="C24" s="143" t="s">
        <v>234</v>
      </c>
      <c r="D24" s="214"/>
      <c r="E24" s="160"/>
      <c r="F24" s="166"/>
      <c r="G24" s="177"/>
      <c r="H24" s="199"/>
      <c r="I24" s="173"/>
      <c r="J24" s="158"/>
      <c r="K24" s="124"/>
      <c r="L24" s="125"/>
      <c r="M24" s="126"/>
      <c r="N24" s="124"/>
      <c r="O24" s="125"/>
      <c r="AB24" s="294">
        <f>IF($BJ24=1,1,0)</f>
        <v>0</v>
      </c>
      <c r="AC24" s="294">
        <f>IF($BJ24=2,1,0)</f>
        <v>1</v>
      </c>
      <c r="AD24" s="294">
        <f>IF($BJ24=3,1,0)</f>
        <v>0</v>
      </c>
      <c r="AE24" s="294">
        <f>IF($BJ24=4,1,0)</f>
        <v>0</v>
      </c>
      <c r="AF24" s="294">
        <f>IF($BJ24=5,1,0)</f>
        <v>0</v>
      </c>
      <c r="AG24" s="92">
        <f>IF($BJ24=1,1,0)</f>
        <v>0</v>
      </c>
      <c r="AH24" s="92">
        <f>IF($BJ24=2,1,0)</f>
        <v>1</v>
      </c>
      <c r="AI24" s="92">
        <f>IF($BJ24=3,1,0)</f>
        <v>0</v>
      </c>
      <c r="AJ24" s="92">
        <f>IF($BJ24=4,1,0)</f>
        <v>0</v>
      </c>
      <c r="AK24" s="92">
        <f>IF($BJ24=5,1,0)</f>
        <v>0</v>
      </c>
      <c r="AL24" s="300">
        <f>IF($BJ24=1,1,0)</f>
        <v>0</v>
      </c>
      <c r="AM24" s="300">
        <f>IF($BJ24=2,1,0)</f>
        <v>1</v>
      </c>
      <c r="AN24" s="300">
        <f>IF($BJ24=3,1,0)</f>
        <v>0</v>
      </c>
      <c r="AO24" s="300">
        <f>IF($BJ24=4,1,0)</f>
        <v>0</v>
      </c>
      <c r="AP24" s="300">
        <f>IF($BJ24=5,1,0)</f>
        <v>0</v>
      </c>
      <c r="AQ24" s="297">
        <f>IF($BJ24=1,1,0)</f>
        <v>0</v>
      </c>
      <c r="AR24" s="297">
        <f>IF($BJ24=2,1,0)</f>
        <v>1</v>
      </c>
      <c r="AS24" s="297">
        <f>IF($BJ24=3,1,0)</f>
        <v>0</v>
      </c>
      <c r="AT24" s="297">
        <f>IF($BJ24=4,1,0)</f>
        <v>0</v>
      </c>
      <c r="AU24" s="297">
        <f>IF($BJ24=5,1,0)</f>
        <v>0</v>
      </c>
      <c r="AV24" s="92">
        <f>IF($BJ24=1,1,0)</f>
        <v>0</v>
      </c>
      <c r="AW24" s="92">
        <f>IF($BJ24=2,1,0)</f>
        <v>1</v>
      </c>
      <c r="AX24" s="92">
        <f>IF($BJ24=3,1,0)</f>
        <v>0</v>
      </c>
      <c r="AY24" s="92">
        <f>IF($BJ24=4,1,0)</f>
        <v>0</v>
      </c>
      <c r="AZ24" s="92">
        <f>IF($BJ24=5,1,0)</f>
        <v>0</v>
      </c>
      <c r="BA24" s="300">
        <f>IF($BJ24=1,1,0)</f>
        <v>0</v>
      </c>
      <c r="BB24" s="300">
        <f>IF($BJ24=2,1,0)</f>
        <v>1</v>
      </c>
      <c r="BC24" s="300">
        <f>IF($BJ24=3,1,0)</f>
        <v>0</v>
      </c>
      <c r="BD24" s="300">
        <f>IF($BJ24=4,1,0)</f>
        <v>0</v>
      </c>
      <c r="BE24" s="300">
        <f>IF($BJ24=5,1,0)</f>
        <v>0</v>
      </c>
      <c r="BF24" s="74"/>
      <c r="BG24" s="74"/>
      <c r="BH24" s="75">
        <v>1</v>
      </c>
      <c r="BI24" s="93"/>
      <c r="BJ24" s="103">
        <f>Stappen!BJ116</f>
        <v>2</v>
      </c>
      <c r="BL24" s="74">
        <f>Stappen!BL9</f>
        <v>1</v>
      </c>
      <c r="BM24" s="74">
        <f>Stappen!BM9</f>
        <v>2</v>
      </c>
      <c r="BN24" s="74">
        <f>Stappen!BN9</f>
        <v>3</v>
      </c>
      <c r="BO24" s="74">
        <f>Stappen!BO9</f>
        <v>4</v>
      </c>
      <c r="BP24" s="74">
        <f>Stappen!BP9</f>
        <v>5</v>
      </c>
      <c r="BR24" s="74">
        <v>1</v>
      </c>
      <c r="BS24" s="74">
        <v>2</v>
      </c>
      <c r="BT24" s="74">
        <v>3</v>
      </c>
      <c r="BU24" s="74">
        <v>4</v>
      </c>
      <c r="BV24" s="74">
        <v>5</v>
      </c>
    </row>
    <row r="25" spans="1:74" x14ac:dyDescent="0.2">
      <c r="A25" s="113" t="s">
        <v>163</v>
      </c>
      <c r="B25" s="114"/>
      <c r="C25" s="145" t="s">
        <v>51</v>
      </c>
      <c r="D25" s="191"/>
      <c r="E25" s="161"/>
      <c r="F25" s="127">
        <f>BI25</f>
        <v>60.280373831775698</v>
      </c>
      <c r="G25" s="178"/>
      <c r="H25" s="133" t="s">
        <v>22</v>
      </c>
      <c r="I25" s="174"/>
      <c r="J25" s="134">
        <f>SUM(Referentieproject!J117:J120)</f>
        <v>10681.776231061489</v>
      </c>
      <c r="K25" s="129">
        <f>SUM(Referentieproject!K117:K120)</f>
        <v>3537.5522742772159</v>
      </c>
      <c r="L25" s="130">
        <f>SUM(Referentieproject!L117:L120)</f>
        <v>13999.146773061168</v>
      </c>
      <c r="M25" s="131">
        <f>SUM(Referentieproject!M117:M120)</f>
        <v>108967.84884175459</v>
      </c>
      <c r="N25" s="129">
        <f>SUM(Referentieproject!N117:N120)</f>
        <v>4316.5529902286853</v>
      </c>
      <c r="O25" s="130">
        <f>SUM(Referentieproject!O117:O120)</f>
        <v>2853.8812432103277</v>
      </c>
      <c r="BF25" s="2" t="s">
        <v>0</v>
      </c>
      <c r="BG25" s="2">
        <f>Stappen!BH$17</f>
        <v>9</v>
      </c>
      <c r="BH25" s="78">
        <v>2</v>
      </c>
      <c r="BI25" s="104">
        <f t="shared" ref="BI25:BI32" si="0">BJ25</f>
        <v>60.280373831775698</v>
      </c>
      <c r="BJ25" s="56">
        <f>HLOOKUP(Stappen!BJ$24,Stappen!$BL$24:$BP$46,BH25,FALSE)*Stappen!BJ$11</f>
        <v>60.280373831775698</v>
      </c>
      <c r="BK25" s="64" t="s">
        <v>22</v>
      </c>
      <c r="BL25" s="54">
        <f>Stappen!BL25</f>
        <v>308.66666666666669</v>
      </c>
      <c r="BM25" s="54">
        <f>Stappen!BM25</f>
        <v>516</v>
      </c>
      <c r="BN25" s="54">
        <f>Stappen!BN25</f>
        <v>220</v>
      </c>
      <c r="BO25" s="54">
        <f>Stappen!BO25</f>
        <v>580</v>
      </c>
      <c r="BP25" s="54">
        <f>Stappen!BP25</f>
        <v>308.66666666666669</v>
      </c>
      <c r="BR25" s="64" t="s">
        <v>29</v>
      </c>
    </row>
    <row r="26" spans="1:74" x14ac:dyDescent="0.2">
      <c r="A26" s="113" t="s">
        <v>164</v>
      </c>
      <c r="B26" s="114"/>
      <c r="C26" s="145" t="s">
        <v>52</v>
      </c>
      <c r="D26" s="191"/>
      <c r="E26" s="161"/>
      <c r="F26" s="127">
        <f t="shared" ref="F26:F32" si="1">BI26</f>
        <v>150</v>
      </c>
      <c r="G26" s="178"/>
      <c r="H26" s="133" t="s">
        <v>22</v>
      </c>
      <c r="I26" s="174"/>
      <c r="J26" s="134">
        <f>SUM(Referentieproject!J122:J126)</f>
        <v>22292.497066173972</v>
      </c>
      <c r="K26" s="129">
        <f>SUM(Referentieproject!K122:K126)</f>
        <v>5009.4424122414366</v>
      </c>
      <c r="L26" s="130">
        <f>SUM(Referentieproject!L122:L126)</f>
        <v>19607.712047992067</v>
      </c>
      <c r="M26" s="131">
        <f>SUM(Referentieproject!M122:M126)</f>
        <v>176180.38841937325</v>
      </c>
      <c r="N26" s="129">
        <f>SUM(Referentieproject!N122:N126)</f>
        <v>4817.9775179517219</v>
      </c>
      <c r="O26" s="130">
        <f>SUM(Referentieproject!O122:O126)</f>
        <v>3708.5464355485574</v>
      </c>
      <c r="BF26" s="2" t="s">
        <v>1</v>
      </c>
      <c r="BG26" s="2">
        <f>Stappen!BH$13</f>
        <v>5</v>
      </c>
      <c r="BH26" s="78">
        <v>3</v>
      </c>
      <c r="BI26" s="104">
        <f t="shared" si="0"/>
        <v>150</v>
      </c>
      <c r="BJ26" s="56">
        <f>HLOOKUP(Stappen!BJ$24,Stappen!$BL$24:$BP$46,BH26,FALSE)*Stappen!BJ$11</f>
        <v>150</v>
      </c>
      <c r="BK26" s="64" t="s">
        <v>22</v>
      </c>
      <c r="BL26" s="54">
        <f>Stappen!BL26</f>
        <v>926</v>
      </c>
      <c r="BM26" s="54">
        <f>Stappen!BM26</f>
        <v>1284</v>
      </c>
      <c r="BN26" s="54">
        <f>Stappen!BN26</f>
        <v>398</v>
      </c>
      <c r="BO26" s="54">
        <f>Stappen!BO26</f>
        <v>1141</v>
      </c>
      <c r="BP26" s="54">
        <f>Stappen!BP26</f>
        <v>926</v>
      </c>
    </row>
    <row r="27" spans="1:74" x14ac:dyDescent="0.2">
      <c r="A27" s="113" t="s">
        <v>165</v>
      </c>
      <c r="B27" s="114"/>
      <c r="C27" s="145" t="s">
        <v>239</v>
      </c>
      <c r="D27" s="191"/>
      <c r="E27" s="161"/>
      <c r="F27" s="127">
        <f>BI27</f>
        <v>60.280373831775698</v>
      </c>
      <c r="G27" s="178"/>
      <c r="H27" s="133" t="s">
        <v>22</v>
      </c>
      <c r="I27" s="18"/>
      <c r="J27" s="134">
        <f>SUM(Referentieproject!J128:J130)</f>
        <v>4342.4391239783508</v>
      </c>
      <c r="K27" s="129">
        <f>SUM(Referentieproject!K128:K130)</f>
        <v>1057.3567539428866</v>
      </c>
      <c r="L27" s="130">
        <f>SUM(Referentieproject!L128:L130)</f>
        <v>2256.5740283808273</v>
      </c>
      <c r="M27" s="131">
        <f>SUM(Referentieproject!M128:M130)</f>
        <v>51101.390059101672</v>
      </c>
      <c r="N27" s="129">
        <f>SUM(Referentieproject!N128:N130)</f>
        <v>376.78494990694958</v>
      </c>
      <c r="O27" s="130">
        <f>SUM(Referentieproject!O128:O130)</f>
        <v>571.95831023173639</v>
      </c>
      <c r="BF27" s="2" t="s">
        <v>3</v>
      </c>
      <c r="BG27" s="2">
        <f>Stappen!BH$17</f>
        <v>9</v>
      </c>
      <c r="BH27" s="78">
        <v>4</v>
      </c>
      <c r="BI27" s="104">
        <f t="shared" si="0"/>
        <v>60.280373831775698</v>
      </c>
      <c r="BJ27" s="56">
        <f>HLOOKUP(Stappen!BJ$24,Stappen!$BL$24:$BP$46,BH27,FALSE)*Stappen!BJ$11</f>
        <v>60.280373831775698</v>
      </c>
      <c r="BK27" s="64" t="s">
        <v>22</v>
      </c>
      <c r="BL27" s="54">
        <f>Stappen!BL27</f>
        <v>435.52966558791803</v>
      </c>
      <c r="BM27" s="54">
        <f>Stappen!BM27</f>
        <v>516</v>
      </c>
      <c r="BN27" s="54">
        <f>Stappen!BN27</f>
        <v>265</v>
      </c>
      <c r="BO27" s="54">
        <f>Stappen!BO27</f>
        <v>624</v>
      </c>
      <c r="BP27" s="54">
        <f>Stappen!BP27</f>
        <v>435.52966558791803</v>
      </c>
    </row>
    <row r="28" spans="1:74" x14ac:dyDescent="0.2">
      <c r="A28" s="113" t="s">
        <v>166</v>
      </c>
      <c r="B28" s="114"/>
      <c r="C28" s="145" t="s">
        <v>240</v>
      </c>
      <c r="D28" s="191"/>
      <c r="E28" s="161"/>
      <c r="F28" s="127">
        <f t="shared" si="1"/>
        <v>130.37383177570092</v>
      </c>
      <c r="G28" s="178"/>
      <c r="H28" s="133" t="s">
        <v>22</v>
      </c>
      <c r="I28" s="18"/>
      <c r="J28" s="134">
        <f>SUM(Referentieproject!J132:J134)</f>
        <v>29818.308595347131</v>
      </c>
      <c r="K28" s="129">
        <f>SUM(Referentieproject!K132:K134)</f>
        <v>8102.9728093483363</v>
      </c>
      <c r="L28" s="130">
        <f>SUM(Referentieproject!L132:L134)</f>
        <v>17939.202224727807</v>
      </c>
      <c r="M28" s="131">
        <f>SUM(Referentieproject!M132:M134)</f>
        <v>207431.10158177107</v>
      </c>
      <c r="N28" s="129">
        <f>SUM(Referentieproject!N132:N134)</f>
        <v>6761.9614327546496</v>
      </c>
      <c r="O28" s="130">
        <f>SUM(Referentieproject!O132:O134)</f>
        <v>2376.9213022464928</v>
      </c>
      <c r="BF28" s="2" t="s">
        <v>4</v>
      </c>
      <c r="BG28" s="2">
        <f>Stappen!BH$13</f>
        <v>5</v>
      </c>
      <c r="BH28" s="78">
        <v>5</v>
      </c>
      <c r="BI28" s="104">
        <f t="shared" si="0"/>
        <v>130.37383177570092</v>
      </c>
      <c r="BJ28" s="56">
        <f>HLOOKUP(Stappen!BJ$24,Stappen!$BL$24:$BP$46,BH28,FALSE)*Stappen!BJ$11</f>
        <v>130.37383177570092</v>
      </c>
      <c r="BK28" s="64" t="s">
        <v>22</v>
      </c>
      <c r="BL28" s="54">
        <f>Stappen!BL28</f>
        <v>506.99999999999994</v>
      </c>
      <c r="BM28" s="54">
        <f>Stappen!BM28</f>
        <v>1116</v>
      </c>
      <c r="BN28" s="54">
        <f>Stappen!BN28</f>
        <v>494</v>
      </c>
      <c r="BO28" s="54">
        <f>Stappen!BO28</f>
        <v>1390</v>
      </c>
      <c r="BP28" s="54">
        <f>Stappen!BP28</f>
        <v>506.99999999999994</v>
      </c>
    </row>
    <row r="29" spans="1:74" x14ac:dyDescent="0.2">
      <c r="A29" s="113" t="s">
        <v>167</v>
      </c>
      <c r="B29" s="114"/>
      <c r="C29" s="145" t="s">
        <v>237</v>
      </c>
      <c r="D29" s="191"/>
      <c r="E29" s="161"/>
      <c r="F29" s="127">
        <f t="shared" si="1"/>
        <v>150</v>
      </c>
      <c r="G29" s="178"/>
      <c r="H29" s="133" t="s">
        <v>22</v>
      </c>
      <c r="I29" s="174"/>
      <c r="J29" s="134">
        <f>SUM(Referentieproject!J136:J138)</f>
        <v>8813.4262205599171</v>
      </c>
      <c r="K29" s="129">
        <f>SUM(Referentieproject!K136:K138)</f>
        <v>1508.7543177588209</v>
      </c>
      <c r="L29" s="130">
        <f>SUM(Referentieproject!L136:L138)</f>
        <v>6832.222528970131</v>
      </c>
      <c r="M29" s="131">
        <f>SUM(Referentieproject!M136:M138)</f>
        <v>73732.597953217206</v>
      </c>
      <c r="N29" s="129">
        <f>SUM(Referentieproject!N136:N138)</f>
        <v>3255.6091738318646</v>
      </c>
      <c r="O29" s="130">
        <f>SUM(Referentieproject!O136:O138)</f>
        <v>379.20335047020592</v>
      </c>
      <c r="BF29" s="2" t="s">
        <v>5</v>
      </c>
      <c r="BG29" s="2">
        <f>Stappen!BH$13</f>
        <v>5</v>
      </c>
      <c r="BH29" s="78">
        <v>6</v>
      </c>
      <c r="BI29" s="104">
        <f t="shared" si="0"/>
        <v>150</v>
      </c>
      <c r="BJ29" s="56">
        <f>HLOOKUP(Stappen!BJ$24,Stappen!$BL$24:$BP$46,BH29,FALSE)*Stappen!BJ$11</f>
        <v>150</v>
      </c>
      <c r="BK29" s="64" t="s">
        <v>22</v>
      </c>
      <c r="BL29" s="54">
        <f>Stappen!BL29</f>
        <v>926</v>
      </c>
      <c r="BM29" s="54">
        <f>Stappen!BM29</f>
        <v>1284</v>
      </c>
      <c r="BN29" s="54">
        <f>Stappen!BN29</f>
        <v>398</v>
      </c>
      <c r="BO29" s="54">
        <f>Stappen!BO29</f>
        <v>1141</v>
      </c>
      <c r="BP29" s="54">
        <f>Stappen!BP29</f>
        <v>926</v>
      </c>
    </row>
    <row r="30" spans="1:74" x14ac:dyDescent="0.2">
      <c r="A30" s="113" t="s">
        <v>168</v>
      </c>
      <c r="B30" s="114"/>
      <c r="C30" s="145" t="s">
        <v>55</v>
      </c>
      <c r="D30" s="191"/>
      <c r="E30" s="161"/>
      <c r="F30" s="127">
        <f t="shared" si="1"/>
        <v>150</v>
      </c>
      <c r="G30" s="178"/>
      <c r="H30" s="133" t="s">
        <v>22</v>
      </c>
      <c r="I30" s="174"/>
      <c r="J30" s="134">
        <f>SUM(Referentieproject!J140:J142)</f>
        <v>6950.1033325476174</v>
      </c>
      <c r="K30" s="129">
        <f>SUM(Referentieproject!K140:K142)</f>
        <v>1233.2102024903518</v>
      </c>
      <c r="L30" s="130">
        <f>SUM(Referentieproject!L140:L142)</f>
        <v>4220.4951549999014</v>
      </c>
      <c r="M30" s="131">
        <f>SUM(Referentieproject!M140:M142)</f>
        <v>43244.23738722493</v>
      </c>
      <c r="N30" s="129">
        <f>SUM(Referentieproject!N140:N142)</f>
        <v>1025.5147227410196</v>
      </c>
      <c r="O30" s="130">
        <f>SUM(Referentieproject!O140:O142)</f>
        <v>682.84783052892772</v>
      </c>
      <c r="BF30" s="2" t="s">
        <v>6</v>
      </c>
      <c r="BG30" s="2">
        <f>Stappen!BH$13</f>
        <v>5</v>
      </c>
      <c r="BH30" s="78">
        <v>7</v>
      </c>
      <c r="BI30" s="104">
        <f t="shared" si="0"/>
        <v>150</v>
      </c>
      <c r="BJ30" s="56">
        <f>HLOOKUP(Stappen!BJ$24,Stappen!$BL$24:$BP$46,BH30,FALSE)*Stappen!BJ$11</f>
        <v>150</v>
      </c>
      <c r="BK30" s="64" t="s">
        <v>22</v>
      </c>
      <c r="BL30" s="54">
        <f>Stappen!BL30</f>
        <v>926</v>
      </c>
      <c r="BM30" s="54">
        <f>Stappen!BM30</f>
        <v>1284</v>
      </c>
      <c r="BN30" s="54">
        <f>Stappen!BN30</f>
        <v>398</v>
      </c>
      <c r="BO30" s="54">
        <f>Stappen!BO30</f>
        <v>1141</v>
      </c>
      <c r="BP30" s="54">
        <f>Stappen!BP30</f>
        <v>926</v>
      </c>
    </row>
    <row r="31" spans="1:74" x14ac:dyDescent="0.2">
      <c r="A31" s="113" t="s">
        <v>169</v>
      </c>
      <c r="B31" s="114"/>
      <c r="C31" s="145" t="s">
        <v>238</v>
      </c>
      <c r="D31" s="191"/>
      <c r="E31" s="161"/>
      <c r="F31" s="127">
        <f t="shared" si="1"/>
        <v>150</v>
      </c>
      <c r="G31" s="178"/>
      <c r="H31" s="133" t="s">
        <v>22</v>
      </c>
      <c r="I31" s="174"/>
      <c r="J31" s="134">
        <f>SUM(Referentieproject!J144:J146)</f>
        <v>5996.5118420564922</v>
      </c>
      <c r="K31" s="129">
        <f>SUM(Referentieproject!K144:K146)</f>
        <v>1220.3814065419776</v>
      </c>
      <c r="L31" s="130">
        <f>SUM(Referentieproject!L144:L146)</f>
        <v>3854.0394588778208</v>
      </c>
      <c r="M31" s="131">
        <f>SUM(Referentieproject!M144:M146)</f>
        <v>55490.342971966122</v>
      </c>
      <c r="N31" s="129">
        <f>SUM(Referentieproject!N144:N146)</f>
        <v>707.08181869151758</v>
      </c>
      <c r="O31" s="130">
        <f>SUM(Referentieproject!O144:O146)</f>
        <v>481.19885514040709</v>
      </c>
      <c r="BF31" s="2" t="s">
        <v>7</v>
      </c>
      <c r="BG31" s="2">
        <f>Stappen!BH$13</f>
        <v>5</v>
      </c>
      <c r="BH31" s="78">
        <v>8</v>
      </c>
      <c r="BI31" s="104">
        <f t="shared" si="0"/>
        <v>150</v>
      </c>
      <c r="BJ31" s="56">
        <f>HLOOKUP(Stappen!BJ$24,Stappen!$BL$24:$BP$46,BH31,FALSE)*Stappen!BJ$11</f>
        <v>150</v>
      </c>
      <c r="BK31" s="64" t="s">
        <v>22</v>
      </c>
      <c r="BL31" s="54">
        <f>Stappen!BL31</f>
        <v>926</v>
      </c>
      <c r="BM31" s="54">
        <f>Stappen!BM31</f>
        <v>1284</v>
      </c>
      <c r="BN31" s="54">
        <f>Stappen!BN31</f>
        <v>398</v>
      </c>
      <c r="BO31" s="54">
        <f>Stappen!BO31</f>
        <v>1141</v>
      </c>
      <c r="BP31" s="54">
        <f>Stappen!BP31</f>
        <v>926</v>
      </c>
    </row>
    <row r="32" spans="1:74" x14ac:dyDescent="0.2">
      <c r="A32" s="113" t="s">
        <v>170</v>
      </c>
      <c r="B32" s="114"/>
      <c r="C32" s="145" t="s">
        <v>56</v>
      </c>
      <c r="D32" s="191"/>
      <c r="E32" s="161"/>
      <c r="F32" s="127">
        <f t="shared" si="1"/>
        <v>150</v>
      </c>
      <c r="G32" s="178"/>
      <c r="H32" s="133" t="s">
        <v>22</v>
      </c>
      <c r="I32" s="174"/>
      <c r="J32" s="134">
        <f>SUM(Referentieproject!J148)</f>
        <v>638.41121495325842</v>
      </c>
      <c r="K32" s="129">
        <f>SUM(Referentieproject!K148)</f>
        <v>210.95327102415345</v>
      </c>
      <c r="L32" s="130">
        <f>SUM(Referentieproject!L148)</f>
        <v>605.65794393350586</v>
      </c>
      <c r="M32" s="131">
        <f>SUM(Referentieproject!M148)</f>
        <v>12072.63364500034</v>
      </c>
      <c r="N32" s="129">
        <f>SUM(Referentieproject!N148)</f>
        <v>64.951401866644744</v>
      </c>
      <c r="O32" s="130">
        <f>SUM(Referentieproject!O148)</f>
        <v>54.403738319957476</v>
      </c>
      <c r="BF32" s="2" t="s">
        <v>8</v>
      </c>
      <c r="BG32" s="2">
        <f>Stappen!BH$13</f>
        <v>5</v>
      </c>
      <c r="BH32" s="78">
        <v>9</v>
      </c>
      <c r="BI32" s="104">
        <f t="shared" si="0"/>
        <v>150</v>
      </c>
      <c r="BJ32" s="56">
        <f>HLOOKUP(Stappen!BJ$24,Stappen!$BL$24:$BP$46,BH32,FALSE)*Stappen!BJ$11</f>
        <v>150</v>
      </c>
      <c r="BK32" s="64" t="s">
        <v>22</v>
      </c>
      <c r="BL32" s="54">
        <f>Stappen!BL32</f>
        <v>926</v>
      </c>
      <c r="BM32" s="54">
        <f>Stappen!BM32</f>
        <v>1284</v>
      </c>
      <c r="BN32" s="54">
        <f>Stappen!BN32</f>
        <v>398</v>
      </c>
      <c r="BO32" s="54">
        <f>Stappen!BO32</f>
        <v>1141</v>
      </c>
      <c r="BP32" s="54">
        <f>Stappen!BP32</f>
        <v>926</v>
      </c>
    </row>
    <row r="33" spans="1:68" x14ac:dyDescent="0.2">
      <c r="A33" s="113"/>
      <c r="B33" s="114"/>
      <c r="C33" s="146" t="s">
        <v>42</v>
      </c>
      <c r="D33" s="215"/>
      <c r="E33" s="161"/>
      <c r="F33" s="167"/>
      <c r="G33" s="178"/>
      <c r="H33" s="168"/>
      <c r="I33" s="174"/>
      <c r="J33" s="134"/>
      <c r="K33" s="129"/>
      <c r="L33" s="130"/>
      <c r="M33" s="131"/>
      <c r="N33" s="129"/>
      <c r="O33" s="130"/>
      <c r="BH33" s="78">
        <v>10</v>
      </c>
      <c r="BI33" s="104"/>
      <c r="BJ33" s="56"/>
      <c r="BK33" s="64"/>
      <c r="BL33" s="54"/>
      <c r="BM33" s="54"/>
      <c r="BN33" s="54"/>
      <c r="BO33" s="54"/>
      <c r="BP33" s="54"/>
    </row>
    <row r="34" spans="1:68" x14ac:dyDescent="0.2">
      <c r="A34" s="113" t="s">
        <v>171</v>
      </c>
      <c r="B34" s="114"/>
      <c r="C34" s="145" t="s">
        <v>9</v>
      </c>
      <c r="D34" s="191"/>
      <c r="E34" s="161"/>
      <c r="F34" s="127">
        <f t="shared" ref="F34:F37" si="2">BI34</f>
        <v>150</v>
      </c>
      <c r="G34" s="178"/>
      <c r="H34" s="133" t="s">
        <v>22</v>
      </c>
      <c r="I34" s="174"/>
      <c r="J34" s="134">
        <f>SUM(Referentieproject!J151:J154)</f>
        <v>4144.5982500008768</v>
      </c>
      <c r="K34" s="129">
        <f>SUM(Referentieproject!K151:K154)</f>
        <v>426.39600000144355</v>
      </c>
      <c r="L34" s="130">
        <f>SUM(Referentieproject!L151:L154)</f>
        <v>655.3724999995211</v>
      </c>
      <c r="M34" s="131">
        <f>SUM(Referentieproject!M151:M154)</f>
        <v>12982.435500006977</v>
      </c>
      <c r="N34" s="129">
        <f>SUM(Referentieproject!N151:N154)</f>
        <v>106.84537500067677</v>
      </c>
      <c r="O34" s="130">
        <f>SUM(Referentieproject!O151:O154)</f>
        <v>769.71901500111244</v>
      </c>
      <c r="BF34" s="2" t="s">
        <v>9</v>
      </c>
      <c r="BG34" s="2">
        <f>Stappen!BH$13</f>
        <v>5</v>
      </c>
      <c r="BH34" s="78">
        <v>11</v>
      </c>
      <c r="BI34" s="104">
        <f>BJ34</f>
        <v>150</v>
      </c>
      <c r="BJ34" s="56">
        <f>HLOOKUP(Stappen!BJ$24,Stappen!$BL$24:$BP$46,BH34,FALSE)*Stappen!BJ$11</f>
        <v>150</v>
      </c>
      <c r="BK34" s="64" t="s">
        <v>22</v>
      </c>
      <c r="BL34" s="54">
        <f>Stappen!BL34</f>
        <v>926</v>
      </c>
      <c r="BM34" s="54">
        <f>Stappen!BM34</f>
        <v>1284</v>
      </c>
      <c r="BN34" s="54">
        <f>Stappen!BN34</f>
        <v>398</v>
      </c>
      <c r="BO34" s="54">
        <f>Stappen!BO34</f>
        <v>1141</v>
      </c>
      <c r="BP34" s="54">
        <f>Stappen!BP34</f>
        <v>926</v>
      </c>
    </row>
    <row r="35" spans="1:68" x14ac:dyDescent="0.2">
      <c r="A35" s="113" t="s">
        <v>172</v>
      </c>
      <c r="B35" s="114"/>
      <c r="C35" s="145" t="s">
        <v>10</v>
      </c>
      <c r="D35" s="191"/>
      <c r="E35" s="161"/>
      <c r="F35" s="127">
        <f t="shared" si="2"/>
        <v>150</v>
      </c>
      <c r="G35" s="178"/>
      <c r="H35" s="133" t="s">
        <v>22</v>
      </c>
      <c r="I35" s="174"/>
      <c r="J35" s="134">
        <f>SUM(Referentieproject!J156:J159)</f>
        <v>8982</v>
      </c>
      <c r="K35" s="129">
        <f>SUM(Referentieproject!K156:K159)</f>
        <v>1322.3589101921048</v>
      </c>
      <c r="L35" s="130">
        <f>SUM(Referentieproject!L156:L159)</f>
        <v>3474.3268184967587</v>
      </c>
      <c r="M35" s="131">
        <f>SUM(Referentieproject!M156:M159)</f>
        <v>53051.384720661401</v>
      </c>
      <c r="N35" s="129">
        <f>SUM(Referentieproject!N156:N159)</f>
        <v>353.65942023436173</v>
      </c>
      <c r="O35" s="130">
        <f>SUM(Referentieproject!O156:O159)</f>
        <v>1406.052394872464</v>
      </c>
      <c r="BF35" s="2" t="s">
        <v>10</v>
      </c>
      <c r="BG35" s="2">
        <f>Stappen!BH$13</f>
        <v>5</v>
      </c>
      <c r="BH35" s="78">
        <v>12</v>
      </c>
      <c r="BI35" s="104">
        <f>BJ35</f>
        <v>150</v>
      </c>
      <c r="BJ35" s="56">
        <f>HLOOKUP(Stappen!BJ$24,Stappen!$BL$24:$BP$46,BH35,FALSE)*Stappen!BJ$11</f>
        <v>150</v>
      </c>
      <c r="BK35" s="64" t="s">
        <v>22</v>
      </c>
      <c r="BL35" s="54">
        <f>Stappen!BL35</f>
        <v>926</v>
      </c>
      <c r="BM35" s="54">
        <f>Stappen!BM35</f>
        <v>1284</v>
      </c>
      <c r="BN35" s="54">
        <f>Stappen!BN35</f>
        <v>398</v>
      </c>
      <c r="BO35" s="54">
        <f>Stappen!BO35</f>
        <v>1141</v>
      </c>
      <c r="BP35" s="54">
        <f>Stappen!BP35</f>
        <v>926</v>
      </c>
    </row>
    <row r="36" spans="1:68" x14ac:dyDescent="0.2">
      <c r="A36" s="113" t="s">
        <v>173</v>
      </c>
      <c r="B36" s="114"/>
      <c r="C36" s="145" t="s">
        <v>11</v>
      </c>
      <c r="D36" s="191"/>
      <c r="E36" s="161"/>
      <c r="F36" s="127">
        <f t="shared" si="2"/>
        <v>150</v>
      </c>
      <c r="G36" s="178"/>
      <c r="H36" s="133" t="s">
        <v>22</v>
      </c>
      <c r="I36" s="174"/>
      <c r="J36" s="134">
        <f>SUM(Referentieproject!J161:J166)</f>
        <v>5823.5027550022323</v>
      </c>
      <c r="K36" s="129">
        <f>SUM(Referentieproject!K161:K166)</f>
        <v>842.12677499984352</v>
      </c>
      <c r="L36" s="130">
        <f>SUM(Referentieproject!L161:L166)</f>
        <v>2004.9964800012276</v>
      </c>
      <c r="M36" s="131">
        <f>SUM(Referentieproject!M161:M166)</f>
        <v>32878.14419999886</v>
      </c>
      <c r="N36" s="129">
        <f>SUM(Referentieproject!N161:N166)</f>
        <v>257.65847999998641</v>
      </c>
      <c r="O36" s="130">
        <f>SUM(Referentieproject!O161:O166)</f>
        <v>1418.8184789997479</v>
      </c>
      <c r="BF36" s="2" t="s">
        <v>11</v>
      </c>
      <c r="BG36" s="2">
        <f>Stappen!BH$13</f>
        <v>5</v>
      </c>
      <c r="BH36" s="78">
        <v>13</v>
      </c>
      <c r="BI36" s="104">
        <f>BJ36</f>
        <v>150</v>
      </c>
      <c r="BJ36" s="56">
        <f>HLOOKUP(Stappen!BJ$24,Stappen!$BL$24:$BP$46,BH36,FALSE)*Stappen!BJ$11</f>
        <v>150</v>
      </c>
      <c r="BK36" s="64" t="s">
        <v>22</v>
      </c>
      <c r="BL36" s="54">
        <f>Stappen!BL36</f>
        <v>926</v>
      </c>
      <c r="BM36" s="54">
        <f>Stappen!BM36</f>
        <v>1284</v>
      </c>
      <c r="BN36" s="54">
        <f>Stappen!BN36</f>
        <v>398</v>
      </c>
      <c r="BO36" s="54">
        <f>Stappen!BO36</f>
        <v>1141</v>
      </c>
      <c r="BP36" s="54">
        <f>Stappen!BP36</f>
        <v>926</v>
      </c>
    </row>
    <row r="37" spans="1:68" x14ac:dyDescent="0.2">
      <c r="A37" s="113" t="s">
        <v>174</v>
      </c>
      <c r="B37" s="114"/>
      <c r="C37" s="145" t="s">
        <v>12</v>
      </c>
      <c r="D37" s="191"/>
      <c r="E37" s="161"/>
      <c r="F37" s="127">
        <f t="shared" si="2"/>
        <v>150</v>
      </c>
      <c r="G37" s="178"/>
      <c r="H37" s="133" t="s">
        <v>22</v>
      </c>
      <c r="I37" s="174"/>
      <c r="J37" s="134">
        <f>SUM(Referentieproject!J168)</f>
        <v>5634.6366822429691</v>
      </c>
      <c r="K37" s="129">
        <f>SUM(Referentieproject!K168)</f>
        <v>1231.3498831775669</v>
      </c>
      <c r="L37" s="130">
        <f>SUM(Referentieproject!L168)</f>
        <v>3299.4602803738289</v>
      </c>
      <c r="M37" s="131">
        <f>SUM(Referentieproject!M168)</f>
        <v>48356.438084112189</v>
      </c>
      <c r="N37" s="129">
        <f>SUM(Referentieproject!N168)</f>
        <v>341.5122663551407</v>
      </c>
      <c r="O37" s="130">
        <f>SUM(Referentieproject!O168)</f>
        <v>647.80023364485658</v>
      </c>
      <c r="BF37" s="2" t="s">
        <v>12</v>
      </c>
      <c r="BG37" s="2">
        <f>Stappen!BH$13</f>
        <v>5</v>
      </c>
      <c r="BH37" s="78">
        <v>14</v>
      </c>
      <c r="BI37" s="104">
        <f>BJ37</f>
        <v>150</v>
      </c>
      <c r="BJ37" s="56">
        <f>HLOOKUP(Stappen!BJ$24,Stappen!$BL$24:$BP$46,BH37,FALSE)*Stappen!BJ$11</f>
        <v>150</v>
      </c>
      <c r="BK37" s="64" t="s">
        <v>22</v>
      </c>
      <c r="BL37" s="54">
        <f>Stappen!BL37</f>
        <v>926</v>
      </c>
      <c r="BM37" s="54">
        <f>Stappen!BM37</f>
        <v>1284</v>
      </c>
      <c r="BN37" s="54">
        <f>Stappen!BN37</f>
        <v>398</v>
      </c>
      <c r="BO37" s="54">
        <f>Stappen!BO37</f>
        <v>1141</v>
      </c>
      <c r="BP37" s="54">
        <f>Stappen!BP37</f>
        <v>926</v>
      </c>
    </row>
    <row r="38" spans="1:68" x14ac:dyDescent="0.2">
      <c r="A38" s="113"/>
      <c r="B38" s="114"/>
      <c r="C38" s="146" t="s">
        <v>235</v>
      </c>
      <c r="D38" s="215"/>
      <c r="E38" s="161"/>
      <c r="F38" s="167"/>
      <c r="G38" s="178"/>
      <c r="H38" s="168"/>
      <c r="I38" s="174"/>
      <c r="J38" s="134"/>
      <c r="K38" s="129"/>
      <c r="L38" s="130"/>
      <c r="M38" s="131"/>
      <c r="N38" s="129"/>
      <c r="O38" s="130"/>
      <c r="BH38" s="78">
        <v>15</v>
      </c>
      <c r="BI38" s="104"/>
      <c r="BJ38" s="56"/>
      <c r="BK38" s="64"/>
      <c r="BL38" s="54"/>
      <c r="BM38" s="54"/>
      <c r="BN38" s="54"/>
      <c r="BO38" s="54"/>
      <c r="BP38" s="54"/>
    </row>
    <row r="39" spans="1:68" x14ac:dyDescent="0.2">
      <c r="A39" s="113" t="s">
        <v>175</v>
      </c>
      <c r="B39" s="114"/>
      <c r="C39" s="145" t="s">
        <v>242</v>
      </c>
      <c r="D39" s="191"/>
      <c r="E39" s="161"/>
      <c r="F39" s="127">
        <f t="shared" ref="F39" si="3">BI39</f>
        <v>150</v>
      </c>
      <c r="G39" s="178"/>
      <c r="H39" s="133" t="s">
        <v>22</v>
      </c>
      <c r="I39" s="174"/>
      <c r="J39" s="134">
        <f>SUM(Referentieproject!J171)</f>
        <v>4917.4992000007478</v>
      </c>
      <c r="K39" s="129">
        <f>SUM(Referentieproject!K171)</f>
        <v>685.74674999999843</v>
      </c>
      <c r="L39" s="130">
        <f>SUM(Referentieproject!L171)</f>
        <v>2317.0766999997795</v>
      </c>
      <c r="M39" s="131">
        <f>SUM(Referentieproject!M171)</f>
        <v>37117.436250005267</v>
      </c>
      <c r="N39" s="129">
        <f>SUM(Referentieproject!N171)</f>
        <v>497.01419999998961</v>
      </c>
      <c r="O39" s="130">
        <f>SUM(Referentieproject!O171)</f>
        <v>475.6234349998067</v>
      </c>
      <c r="BF39" s="2" t="s">
        <v>14</v>
      </c>
      <c r="BG39" s="2">
        <f>Stappen!BH$13</f>
        <v>5</v>
      </c>
      <c r="BH39" s="78">
        <v>16</v>
      </c>
      <c r="BI39" s="104">
        <f>BJ39</f>
        <v>150</v>
      </c>
      <c r="BJ39" s="56">
        <f>HLOOKUP(Stappen!BJ$24,Stappen!$BL$24:$BP$46,BH39,FALSE)*Stappen!BJ$11</f>
        <v>150</v>
      </c>
      <c r="BK39" s="64" t="s">
        <v>22</v>
      </c>
      <c r="BL39" s="54">
        <f>Stappen!BL39</f>
        <v>926</v>
      </c>
      <c r="BM39" s="54">
        <f>Stappen!BM39</f>
        <v>1284</v>
      </c>
      <c r="BN39" s="54">
        <f>Stappen!BN39</f>
        <v>398</v>
      </c>
      <c r="BO39" s="54">
        <f>Stappen!BO39</f>
        <v>1141</v>
      </c>
      <c r="BP39" s="54">
        <f>Stappen!BP39</f>
        <v>926</v>
      </c>
    </row>
    <row r="40" spans="1:68" x14ac:dyDescent="0.2">
      <c r="A40" s="113"/>
      <c r="B40" s="114"/>
      <c r="C40" s="146" t="s">
        <v>59</v>
      </c>
      <c r="D40" s="215"/>
      <c r="E40" s="161"/>
      <c r="F40" s="167"/>
      <c r="G40" s="178"/>
      <c r="H40" s="168"/>
      <c r="I40" s="174"/>
      <c r="J40" s="134"/>
      <c r="K40" s="129"/>
      <c r="L40" s="130"/>
      <c r="M40" s="131"/>
      <c r="N40" s="129"/>
      <c r="O40" s="130"/>
      <c r="BH40" s="78">
        <v>17</v>
      </c>
      <c r="BI40" s="104"/>
      <c r="BJ40" s="56"/>
      <c r="BK40" s="64"/>
      <c r="BL40" s="54"/>
      <c r="BM40" s="54"/>
      <c r="BN40" s="54"/>
      <c r="BO40" s="54"/>
      <c r="BP40" s="54"/>
    </row>
    <row r="41" spans="1:68" x14ac:dyDescent="0.2">
      <c r="A41" s="113" t="s">
        <v>176</v>
      </c>
      <c r="B41" s="114"/>
      <c r="C41" s="145" t="s">
        <v>59</v>
      </c>
      <c r="D41" s="191"/>
      <c r="E41" s="161"/>
      <c r="F41" s="127">
        <f t="shared" ref="F41" si="4">BI41</f>
        <v>159.81308411214954</v>
      </c>
      <c r="G41" s="178"/>
      <c r="H41" s="133" t="s">
        <v>22</v>
      </c>
      <c r="I41" s="174"/>
      <c r="J41" s="134">
        <f>SUM(Referentieproject!J174)</f>
        <v>6837.7481194909151</v>
      </c>
      <c r="K41" s="129">
        <f>SUM(Referentieproject!K174)</f>
        <v>1752.8358995322437</v>
      </c>
      <c r="L41" s="130">
        <f>SUM(Referentieproject!L174)</f>
        <v>7862.0318411213439</v>
      </c>
      <c r="M41" s="131">
        <f>SUM(Referentieproject!M174)</f>
        <v>47874.008245999648</v>
      </c>
      <c r="N41" s="129">
        <f>SUM(Referentieproject!N174)</f>
        <v>3991.7643744993911</v>
      </c>
      <c r="O41" s="130">
        <f>SUM(Referentieproject!O174)</f>
        <v>1227.4242161215591</v>
      </c>
      <c r="BF41" s="2" t="s">
        <v>13</v>
      </c>
      <c r="BG41" s="2">
        <f>Stappen!BH$18</f>
        <v>10</v>
      </c>
      <c r="BH41" s="78">
        <v>18</v>
      </c>
      <c r="BI41" s="104">
        <f>BJ41</f>
        <v>159.81308411214954</v>
      </c>
      <c r="BJ41" s="56">
        <f>HLOOKUP(Stappen!BJ$24,Stappen!$BL$24:$BP$46,BH41,FALSE)*Stappen!BJ$11</f>
        <v>159.81308411214954</v>
      </c>
      <c r="BK41" s="64" t="s">
        <v>22</v>
      </c>
      <c r="BL41" s="54">
        <f>Stappen!BL41</f>
        <v>846.33333333333326</v>
      </c>
      <c r="BM41" s="54">
        <f>Stappen!BM41</f>
        <v>1368</v>
      </c>
      <c r="BN41" s="54">
        <f>Stappen!BN41</f>
        <v>480</v>
      </c>
      <c r="BO41" s="54">
        <f>Stappen!BO41</f>
        <v>3880</v>
      </c>
      <c r="BP41" s="54">
        <f>Stappen!BP41</f>
        <v>846.33333333333326</v>
      </c>
    </row>
    <row r="42" spans="1:68" x14ac:dyDescent="0.2">
      <c r="A42" s="113"/>
      <c r="B42" s="114"/>
      <c r="C42" s="146" t="s">
        <v>236</v>
      </c>
      <c r="D42" s="215"/>
      <c r="E42" s="161"/>
      <c r="F42" s="167"/>
      <c r="G42" s="178"/>
      <c r="H42" s="168"/>
      <c r="I42" s="174"/>
      <c r="J42" s="134"/>
      <c r="K42" s="129"/>
      <c r="L42" s="130"/>
      <c r="M42" s="131"/>
      <c r="N42" s="129"/>
      <c r="O42" s="130"/>
      <c r="BH42" s="78">
        <v>19</v>
      </c>
      <c r="BI42" s="104"/>
      <c r="BJ42" s="56"/>
      <c r="BK42" s="64"/>
      <c r="BL42" s="54"/>
      <c r="BM42" s="54"/>
      <c r="BN42" s="54"/>
      <c r="BO42" s="54"/>
      <c r="BP42" s="54"/>
    </row>
    <row r="43" spans="1:68" x14ac:dyDescent="0.2">
      <c r="A43" s="113" t="s">
        <v>177</v>
      </c>
      <c r="B43" s="114"/>
      <c r="C43" s="245" t="s">
        <v>236</v>
      </c>
      <c r="D43" s="154"/>
      <c r="E43" s="162"/>
      <c r="F43" s="135">
        <f t="shared" ref="F43" si="5">BI43</f>
        <v>150</v>
      </c>
      <c r="G43" s="179"/>
      <c r="H43" s="148" t="s">
        <v>22</v>
      </c>
      <c r="I43" s="175"/>
      <c r="J43" s="153">
        <f>SUM(Referentieproject!J177)</f>
        <v>2517.4691726683195</v>
      </c>
      <c r="K43" s="138">
        <f>SUM(Referentieproject!K177)</f>
        <v>562.82875331056755</v>
      </c>
      <c r="L43" s="139">
        <f>SUM(Referentieproject!L177)</f>
        <v>1778.5662956187132</v>
      </c>
      <c r="M43" s="140">
        <f>SUM(Referentieproject!M177)</f>
        <v>19209.60775720387</v>
      </c>
      <c r="N43" s="138">
        <f>SUM(Referentieproject!N177)</f>
        <v>537.49776248125193</v>
      </c>
      <c r="O43" s="139">
        <f>SUM(Referentieproject!O177)</f>
        <v>341.08797678672323</v>
      </c>
      <c r="AB43" s="74" t="s">
        <v>285</v>
      </c>
      <c r="AC43" s="74" t="s">
        <v>281</v>
      </c>
      <c r="AD43" s="74" t="s">
        <v>282</v>
      </c>
      <c r="AE43" s="74" t="s">
        <v>283</v>
      </c>
      <c r="AF43" s="74" t="s">
        <v>284</v>
      </c>
      <c r="BF43" s="2" t="s">
        <v>15</v>
      </c>
      <c r="BG43" s="2">
        <f>Stappen!BH$13</f>
        <v>5</v>
      </c>
      <c r="BH43" s="78">
        <v>20</v>
      </c>
      <c r="BI43" s="104">
        <f>BJ43</f>
        <v>150</v>
      </c>
      <c r="BJ43" s="56">
        <f>HLOOKUP(Stappen!BJ$24,Stappen!$BL$24:$BP$46,BH43,FALSE)*Stappen!BJ$11</f>
        <v>150</v>
      </c>
      <c r="BK43" s="64" t="s">
        <v>22</v>
      </c>
      <c r="BL43" s="54">
        <f>Stappen!BL43</f>
        <v>926</v>
      </c>
      <c r="BM43" s="54">
        <f>Stappen!BM43</f>
        <v>1284</v>
      </c>
      <c r="BN43" s="54">
        <f>Stappen!BN43</f>
        <v>398</v>
      </c>
      <c r="BO43" s="54">
        <f>Stappen!BO43</f>
        <v>1141</v>
      </c>
      <c r="BP43" s="54">
        <f>Stappen!BP43</f>
        <v>926</v>
      </c>
    </row>
    <row r="44" spans="1:68" ht="6" customHeight="1" x14ac:dyDescent="0.2">
      <c r="C44" s="204"/>
      <c r="D44" s="203"/>
      <c r="E44" s="150"/>
      <c r="F44" s="150"/>
      <c r="G44" s="115"/>
      <c r="I44" s="203"/>
      <c r="J44" s="115"/>
      <c r="K44" s="115"/>
      <c r="L44" s="115"/>
      <c r="M44" s="115"/>
      <c r="N44" s="115"/>
      <c r="O44" s="115"/>
      <c r="BH44" s="78"/>
      <c r="BI44" s="104"/>
      <c r="BJ44" s="56"/>
      <c r="BK44" s="64"/>
      <c r="BL44" s="54"/>
      <c r="BM44" s="54"/>
      <c r="BN44" s="54"/>
      <c r="BO44" s="54"/>
      <c r="BP44" s="54"/>
    </row>
    <row r="45" spans="1:68" ht="12.75" customHeight="1" x14ac:dyDescent="0.2">
      <c r="C45" s="241" t="s">
        <v>287</v>
      </c>
      <c r="D45" s="190"/>
      <c r="E45" s="160"/>
      <c r="F45" s="121">
        <f>Stappen!$F$13</f>
        <v>150</v>
      </c>
      <c r="G45" s="177"/>
      <c r="H45" s="144" t="s">
        <v>22</v>
      </c>
      <c r="I45" s="173"/>
      <c r="J45" s="158">
        <f>SUM(J24:J43)</f>
        <v>128390.92780608431</v>
      </c>
      <c r="K45" s="124">
        <f t="shared" ref="K45:O45" si="6">SUM(K24:K43)</f>
        <v>28704.26641883895</v>
      </c>
      <c r="L45" s="125">
        <f t="shared" si="6"/>
        <v>90706.881076554375</v>
      </c>
      <c r="M45" s="126">
        <f t="shared" si="6"/>
        <v>979689.99561739736</v>
      </c>
      <c r="N45" s="124">
        <f t="shared" si="6"/>
        <v>27412.385886543852</v>
      </c>
      <c r="O45" s="125">
        <f t="shared" si="6"/>
        <v>17395.486816122884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H45" s="78">
        <v>21</v>
      </c>
      <c r="BI45" s="104"/>
      <c r="BJ45" s="56"/>
      <c r="BK45" s="64"/>
      <c r="BL45" s="54"/>
      <c r="BM45" s="54"/>
      <c r="BN45" s="54"/>
      <c r="BO45" s="54"/>
      <c r="BP45" s="54"/>
    </row>
    <row r="46" spans="1:68" ht="12.75" customHeight="1" x14ac:dyDescent="0.2">
      <c r="A46" s="113" t="s">
        <v>178</v>
      </c>
      <c r="C46" s="145" t="s">
        <v>243</v>
      </c>
      <c r="D46" s="191"/>
      <c r="E46" s="161"/>
      <c r="F46" s="127">
        <f>F45</f>
        <v>150</v>
      </c>
      <c r="G46" s="178"/>
      <c r="H46" s="133" t="s">
        <v>22</v>
      </c>
      <c r="I46" s="174"/>
      <c r="J46" s="134">
        <f>$F46*SUM(AB46:AF46)</f>
        <v>11250.000000000002</v>
      </c>
      <c r="K46" s="129">
        <f>$F46*SUM(AG46:AK46)</f>
        <v>1800.0000000000002</v>
      </c>
      <c r="L46" s="130">
        <f>$F46*SUM(AL46:AP46)</f>
        <v>4769.200395347716</v>
      </c>
      <c r="M46" s="131">
        <f>$F46*SUM(AQ46:AU46)</f>
        <v>68834.509291799186</v>
      </c>
      <c r="N46" s="129">
        <f>$F46*SUM(AV46:AZ46)</f>
        <v>450.19808854828722</v>
      </c>
      <c r="O46" s="130">
        <f>$F46*SUM(BA46:BE46)</f>
        <v>492.39888334153278</v>
      </c>
      <c r="AB46" s="3">
        <f>AB24*0.08/1.2*AB50</f>
        <v>0</v>
      </c>
      <c r="AC46" s="3">
        <f>AC24*0.1/1.2*AC50</f>
        <v>75.000000000000014</v>
      </c>
      <c r="AD46" s="3">
        <f>AD24*0.08/1.2*AD50</f>
        <v>0</v>
      </c>
      <c r="AE46" s="3">
        <f>AE24*0.09/1.2*AE50</f>
        <v>0</v>
      </c>
      <c r="AF46" s="3">
        <f>AF24*0.08/1.2*AF50</f>
        <v>0</v>
      </c>
      <c r="AG46" s="3">
        <f>$AB46*AG50</f>
        <v>0</v>
      </c>
      <c r="AH46" s="3">
        <f>$AC46*AH50</f>
        <v>12.000000000000002</v>
      </c>
      <c r="AI46" s="3">
        <f>$AD46*AI50</f>
        <v>0</v>
      </c>
      <c r="AJ46" s="3">
        <f>$AE46*AJ50</f>
        <v>0</v>
      </c>
      <c r="AK46" s="3">
        <f>$AF46*AK50</f>
        <v>0</v>
      </c>
      <c r="AL46" s="3">
        <f>$AB46*AL50</f>
        <v>0</v>
      </c>
      <c r="AM46" s="3">
        <f>$AC46*AM50</f>
        <v>31.794669302318106</v>
      </c>
      <c r="AN46" s="3">
        <f>$AD46*AN50</f>
        <v>0</v>
      </c>
      <c r="AO46" s="3">
        <f>$AE46*AO50</f>
        <v>0</v>
      </c>
      <c r="AP46" s="3">
        <f>$AF46*AP50</f>
        <v>0</v>
      </c>
      <c r="AQ46" s="3">
        <f>$AB46*AQ50</f>
        <v>0</v>
      </c>
      <c r="AR46" s="3">
        <f>$AC46*AR50</f>
        <v>458.89672861199455</v>
      </c>
      <c r="AS46" s="3">
        <f>$AD46*AS50</f>
        <v>0</v>
      </c>
      <c r="AT46" s="3">
        <f>$AE46*AT50</f>
        <v>0</v>
      </c>
      <c r="AU46" s="3">
        <f>$AF46*AU50</f>
        <v>0</v>
      </c>
      <c r="AV46" s="3">
        <f>$AB46*AV50</f>
        <v>0</v>
      </c>
      <c r="AW46" s="3">
        <f>$AC46*AW50</f>
        <v>3.0013205903219147</v>
      </c>
      <c r="AX46" s="3">
        <f>$AD46*AX50</f>
        <v>0</v>
      </c>
      <c r="AY46" s="3">
        <f>$AE46*AY50</f>
        <v>0</v>
      </c>
      <c r="AZ46" s="3">
        <f>$AF46*AZ50</f>
        <v>0</v>
      </c>
      <c r="BA46" s="3">
        <f>$AB46*BA50</f>
        <v>0</v>
      </c>
      <c r="BB46" s="3">
        <f>$AC46*BB50</f>
        <v>3.2826592222768851</v>
      </c>
      <c r="BC46" s="3">
        <f>$AD46*BC50</f>
        <v>0</v>
      </c>
      <c r="BD46" s="3">
        <f>$AE46*BD50</f>
        <v>0</v>
      </c>
      <c r="BE46" s="3">
        <f>$AF46*BE50</f>
        <v>0</v>
      </c>
      <c r="BG46" s="2">
        <f>Stappen!BH$13</f>
        <v>5</v>
      </c>
      <c r="BH46" s="78">
        <v>22</v>
      </c>
      <c r="BI46" s="104">
        <f>BJ46</f>
        <v>150</v>
      </c>
      <c r="BJ46" s="56">
        <f>HLOOKUP(Stappen!BJ$24,Stappen!$BL$24:$BP$46,BH46,FALSE)*Stappen!BJ$11</f>
        <v>150</v>
      </c>
      <c r="BK46" s="64" t="s">
        <v>22</v>
      </c>
      <c r="BL46" s="54">
        <f>Stappen!BL46</f>
        <v>926</v>
      </c>
      <c r="BM46" s="54">
        <f>Stappen!BM46</f>
        <v>1284</v>
      </c>
      <c r="BN46" s="54">
        <f>Stappen!BN46</f>
        <v>398</v>
      </c>
      <c r="BO46" s="54">
        <f>Stappen!BO46</f>
        <v>1141</v>
      </c>
      <c r="BP46" s="54">
        <f>Stappen!BP46</f>
        <v>926</v>
      </c>
    </row>
    <row r="47" spans="1:68" ht="12.75" customHeight="1" x14ac:dyDescent="0.2">
      <c r="A47" s="113" t="s">
        <v>179</v>
      </c>
      <c r="C47" s="145" t="s">
        <v>244</v>
      </c>
      <c r="D47" s="191"/>
      <c r="E47" s="161"/>
      <c r="F47" s="127">
        <f>Stappen!$G$47</f>
        <v>11.28</v>
      </c>
      <c r="G47" s="178"/>
      <c r="H47" s="133" t="s">
        <v>46</v>
      </c>
      <c r="I47" s="18"/>
      <c r="J47" s="134">
        <f>SUM(J45:J46)*$F47/100</f>
        <v>15751.496656526309</v>
      </c>
      <c r="K47" s="129">
        <f>$F46*SUM(AG47:AK47)</f>
        <v>1260.0000000000002</v>
      </c>
      <c r="L47" s="130">
        <f>$F46*SUM(AL47:AP47)</f>
        <v>3338.4402767434012</v>
      </c>
      <c r="M47" s="131">
        <f>$F46*SUM(AQ47:AU47)</f>
        <v>48184.15650425943</v>
      </c>
      <c r="N47" s="129">
        <f>$F46*SUM(AV47:AZ47)</f>
        <v>315.13866198380111</v>
      </c>
      <c r="O47" s="130">
        <f>$F46*SUM(BA47:BE47)</f>
        <v>344.67921833907297</v>
      </c>
      <c r="AB47" s="82">
        <f>AB46/8*7</f>
        <v>0</v>
      </c>
      <c r="AC47" s="82">
        <f>AC46/10*7</f>
        <v>52.500000000000014</v>
      </c>
      <c r="AD47" s="82">
        <f>AD46/8*7</f>
        <v>0</v>
      </c>
      <c r="AE47" s="82">
        <f>AE46/9*7</f>
        <v>0</v>
      </c>
      <c r="AF47" s="82">
        <f>AF46/8*7</f>
        <v>0</v>
      </c>
      <c r="AG47" s="3">
        <f>$AB47*AG50</f>
        <v>0</v>
      </c>
      <c r="AH47" s="3">
        <f>$AC47*AH50</f>
        <v>8.4000000000000021</v>
      </c>
      <c r="AI47" s="3">
        <f>$AD47*AI50</f>
        <v>0</v>
      </c>
      <c r="AJ47" s="3">
        <f>$AE47*AJ50</f>
        <v>0</v>
      </c>
      <c r="AK47" s="3">
        <f>$AF47*AK50</f>
        <v>0</v>
      </c>
      <c r="AL47" s="3">
        <f>$AB47*AL50</f>
        <v>0</v>
      </c>
      <c r="AM47" s="3">
        <f>$AC47*AM50</f>
        <v>22.256268511622675</v>
      </c>
      <c r="AN47" s="3">
        <f>$AD47*AN50</f>
        <v>0</v>
      </c>
      <c r="AO47" s="3">
        <f>$AE47*AO50</f>
        <v>0</v>
      </c>
      <c r="AP47" s="3">
        <f>$AF47*AP50</f>
        <v>0</v>
      </c>
      <c r="AQ47" s="3">
        <f>$AB47*AQ50</f>
        <v>0</v>
      </c>
      <c r="AR47" s="3">
        <f>$AC47*AR50</f>
        <v>321.22771002839619</v>
      </c>
      <c r="AS47" s="3">
        <f>$AD47*AS50</f>
        <v>0</v>
      </c>
      <c r="AT47" s="3">
        <f>$AE47*AT50</f>
        <v>0</v>
      </c>
      <c r="AU47" s="3">
        <f>$AF47*AU50</f>
        <v>0</v>
      </c>
      <c r="AV47" s="3">
        <f>$AB47*AV50</f>
        <v>0</v>
      </c>
      <c r="AW47" s="3">
        <f>$AC47*AW50</f>
        <v>2.1009244132253406</v>
      </c>
      <c r="AX47" s="3">
        <f>$AD47*AX50</f>
        <v>0</v>
      </c>
      <c r="AY47" s="3">
        <f>$AE47*AY50</f>
        <v>0</v>
      </c>
      <c r="AZ47" s="3">
        <f>$AF47*AZ50</f>
        <v>0</v>
      </c>
      <c r="BA47" s="3">
        <f>$AB47*BA50</f>
        <v>0</v>
      </c>
      <c r="BB47" s="3">
        <f>$AC47*BB50</f>
        <v>2.2978614555938197</v>
      </c>
      <c r="BC47" s="3">
        <f>$AD47*BC50</f>
        <v>0</v>
      </c>
      <c r="BD47" s="3">
        <f>$AE47*BD50</f>
        <v>0</v>
      </c>
      <c r="BE47" s="3">
        <f>$AF47*BE50</f>
        <v>0</v>
      </c>
      <c r="BH47" s="78">
        <v>23</v>
      </c>
      <c r="BI47" s="104">
        <f>BJ47</f>
        <v>1284</v>
      </c>
      <c r="BJ47" s="56">
        <f>HLOOKUP(Stappen!BJ$24,Stappen!$BL$24:$BP$47,BH47,FALSE)</f>
        <v>1284</v>
      </c>
      <c r="BK47" s="64" t="s">
        <v>46</v>
      </c>
      <c r="BL47" s="54">
        <f>Stappen!BL47</f>
        <v>11.280000000000001</v>
      </c>
      <c r="BM47" s="54">
        <f>Stappen!BM47</f>
        <v>11.280000000000001</v>
      </c>
      <c r="BN47" s="54">
        <f>Stappen!BN47</f>
        <v>11.280000000000001</v>
      </c>
      <c r="BO47" s="54">
        <f>Stappen!BO47</f>
        <v>11.280000000000001</v>
      </c>
      <c r="BP47" s="54">
        <f>Stappen!BP47</f>
        <v>11.280000000000001</v>
      </c>
    </row>
    <row r="48" spans="1:68" ht="3.95" customHeight="1" x14ac:dyDescent="0.2">
      <c r="A48" s="113"/>
      <c r="C48" s="245"/>
      <c r="D48" s="154"/>
      <c r="E48" s="162"/>
      <c r="F48" s="169"/>
      <c r="G48" s="179"/>
      <c r="H48" s="198"/>
      <c r="I48" s="175"/>
      <c r="J48" s="137"/>
      <c r="K48" s="138"/>
      <c r="L48" s="139"/>
      <c r="M48" s="140"/>
      <c r="N48" s="138"/>
      <c r="O48" s="139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2.75" customHeight="1" x14ac:dyDescent="0.2">
      <c r="A49" s="113" t="s">
        <v>2</v>
      </c>
      <c r="C49" s="143" t="s">
        <v>286</v>
      </c>
      <c r="D49" s="214"/>
      <c r="E49" s="243"/>
      <c r="F49" s="121"/>
      <c r="G49" s="177"/>
      <c r="H49" s="144"/>
      <c r="I49" s="173"/>
      <c r="J49" s="123"/>
      <c r="K49" s="124"/>
      <c r="L49" s="125"/>
      <c r="M49" s="126"/>
      <c r="N49" s="124"/>
      <c r="O49" s="125"/>
      <c r="AF49" s="260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x14ac:dyDescent="0.2">
      <c r="A50" s="1"/>
      <c r="C50" s="147" t="str">
        <f>CONCATENATE("van referentie ",$F$10)</f>
        <v>van referentie (2) appartementen</v>
      </c>
      <c r="D50" s="218"/>
      <c r="E50" s="208"/>
      <c r="F50" s="135">
        <f>F46</f>
        <v>150</v>
      </c>
      <c r="G50" s="179"/>
      <c r="H50" s="148" t="s">
        <v>22</v>
      </c>
      <c r="I50" s="175"/>
      <c r="J50" s="137">
        <f t="shared" ref="J50:O50" si="7">SUM(J45:J47)</f>
        <v>155392.42446261062</v>
      </c>
      <c r="K50" s="138">
        <f t="shared" si="7"/>
        <v>31764.26641883895</v>
      </c>
      <c r="L50" s="139">
        <f t="shared" si="7"/>
        <v>98814.521748645493</v>
      </c>
      <c r="M50" s="140">
        <f t="shared" si="7"/>
        <v>1096708.6614134558</v>
      </c>
      <c r="N50" s="138">
        <f t="shared" si="7"/>
        <v>28177.722637075942</v>
      </c>
      <c r="O50" s="139">
        <f t="shared" si="7"/>
        <v>18232.564917803487</v>
      </c>
      <c r="AB50" s="37">
        <v>750</v>
      </c>
      <c r="AC50" s="37">
        <v>900</v>
      </c>
      <c r="AD50" s="37">
        <v>1300</v>
      </c>
      <c r="AE50" s="37">
        <v>1000</v>
      </c>
      <c r="AF50" s="1">
        <v>700</v>
      </c>
      <c r="AG50" s="381">
        <v>0.16</v>
      </c>
      <c r="AH50" s="381">
        <v>0.16</v>
      </c>
      <c r="AI50" s="381">
        <v>0.16</v>
      </c>
      <c r="AJ50" s="381">
        <v>0.16</v>
      </c>
      <c r="AK50" s="381">
        <v>0.16</v>
      </c>
      <c r="AL50" s="381">
        <v>0.42392892403090798</v>
      </c>
      <c r="AM50" s="381">
        <v>0.42392892403090798</v>
      </c>
      <c r="AN50" s="381">
        <v>0.42392892403090798</v>
      </c>
      <c r="AO50" s="381">
        <v>0.42392892403090798</v>
      </c>
      <c r="AP50" s="381">
        <v>0.42392892403090798</v>
      </c>
      <c r="AQ50" s="381">
        <v>6.1186230481599262</v>
      </c>
      <c r="AR50" s="381">
        <v>6.1186230481599262</v>
      </c>
      <c r="AS50" s="381">
        <v>6.1186230481599262</v>
      </c>
      <c r="AT50" s="381">
        <v>6.1186230481599262</v>
      </c>
      <c r="AU50" s="381">
        <v>6.1186230481599262</v>
      </c>
      <c r="AV50" s="381">
        <v>4.0017607870958857E-2</v>
      </c>
      <c r="AW50" s="381">
        <v>4.0017607870958857E-2</v>
      </c>
      <c r="AX50" s="381">
        <v>4.0017607870958857E-2</v>
      </c>
      <c r="AY50" s="381">
        <v>4.0017607870958857E-2</v>
      </c>
      <c r="AZ50" s="381">
        <v>4.0017607870958857E-2</v>
      </c>
      <c r="BA50" s="381">
        <v>4.3768789630358462E-2</v>
      </c>
      <c r="BB50" s="381">
        <v>4.3768789630358462E-2</v>
      </c>
      <c r="BC50" s="381">
        <v>4.3768789630358462E-2</v>
      </c>
      <c r="BD50" s="381">
        <v>4.3768789630358462E-2</v>
      </c>
      <c r="BE50" s="381">
        <v>4.3768789630358462E-2</v>
      </c>
    </row>
    <row r="51" spans="1:57" x14ac:dyDescent="0.2">
      <c r="F51" s="3"/>
      <c r="G51" s="3"/>
      <c r="I51" s="203"/>
    </row>
    <row r="52" spans="1:57" x14ac:dyDescent="0.2">
      <c r="C52" s="4" t="s">
        <v>415</v>
      </c>
      <c r="D52" s="4"/>
      <c r="G52" s="3"/>
      <c r="I52" s="203"/>
    </row>
    <row r="53" spans="1:57" x14ac:dyDescent="0.2">
      <c r="C53" s="4" t="s">
        <v>405</v>
      </c>
      <c r="D53" s="4"/>
      <c r="G53" s="3"/>
      <c r="I53" s="203"/>
    </row>
    <row r="54" spans="1:57" x14ac:dyDescent="0.2">
      <c r="C54" s="4" t="s">
        <v>406</v>
      </c>
      <c r="D54" s="4"/>
      <c r="G54" s="3"/>
      <c r="I54" s="203"/>
    </row>
    <row r="55" spans="1:57" x14ac:dyDescent="0.2">
      <c r="C55" s="4" t="s">
        <v>407</v>
      </c>
      <c r="F55" s="3"/>
      <c r="G55" s="3"/>
      <c r="I55" s="203"/>
    </row>
    <row r="56" spans="1:57" x14ac:dyDescent="0.2">
      <c r="C56" s="4" t="s">
        <v>408</v>
      </c>
      <c r="F56" s="3"/>
      <c r="G56" s="3"/>
      <c r="I56" s="203"/>
    </row>
    <row r="57" spans="1:57" x14ac:dyDescent="0.2">
      <c r="C57" s="2"/>
      <c r="I57" s="203"/>
    </row>
    <row r="58" spans="1:57" ht="12.75" customHeight="1" x14ac:dyDescent="0.2">
      <c r="I58" s="203"/>
    </row>
    <row r="59" spans="1:57" ht="12.75" customHeight="1" x14ac:dyDescent="0.25">
      <c r="C59" s="112" t="s">
        <v>491</v>
      </c>
      <c r="F59" s="3"/>
      <c r="G59" s="3"/>
      <c r="I59" s="203"/>
    </row>
    <row r="60" spans="1:57" ht="12.75" customHeight="1" x14ac:dyDescent="0.2">
      <c r="I60" s="203"/>
      <c r="AB60" s="294" t="s">
        <v>49</v>
      </c>
      <c r="AC60" s="294"/>
      <c r="AD60" s="294"/>
      <c r="AE60" s="294"/>
      <c r="AF60" s="294"/>
      <c r="AG60" s="92" t="s">
        <v>37</v>
      </c>
      <c r="AH60" s="92"/>
      <c r="AI60" s="92"/>
      <c r="AJ60" s="92"/>
      <c r="AK60" s="92"/>
      <c r="AL60" s="300" t="s">
        <v>538</v>
      </c>
      <c r="AM60" s="300"/>
      <c r="AN60" s="300"/>
      <c r="AO60" s="300"/>
      <c r="AP60" s="300"/>
      <c r="AQ60" s="297" t="s">
        <v>28</v>
      </c>
      <c r="AR60" s="297"/>
      <c r="AS60" s="297"/>
      <c r="AT60" s="297"/>
      <c r="AU60" s="297"/>
      <c r="AV60" s="92" t="s">
        <v>35</v>
      </c>
      <c r="AW60" s="92"/>
      <c r="AX60" s="92"/>
      <c r="AY60" s="92"/>
      <c r="AZ60" s="92"/>
      <c r="BA60" s="300" t="s">
        <v>36</v>
      </c>
      <c r="BB60" s="300"/>
      <c r="BC60" s="300"/>
      <c r="BD60" s="300"/>
      <c r="BE60" s="300"/>
    </row>
    <row r="61" spans="1:57" ht="12.75" customHeight="1" x14ac:dyDescent="0.2">
      <c r="C61" s="165" t="s">
        <v>214</v>
      </c>
      <c r="D61" s="213"/>
      <c r="E61" s="108"/>
      <c r="F61" s="246" t="s">
        <v>212</v>
      </c>
      <c r="G61" s="85"/>
      <c r="H61" s="185"/>
      <c r="I61" s="86"/>
      <c r="J61" s="201" t="s">
        <v>213</v>
      </c>
      <c r="K61" s="85"/>
      <c r="L61" s="85"/>
      <c r="M61" s="85"/>
      <c r="N61" s="85"/>
      <c r="O61" s="86"/>
      <c r="T61" s="269" t="s">
        <v>442</v>
      </c>
      <c r="U61" s="261" t="s">
        <v>443</v>
      </c>
      <c r="V61" s="261"/>
      <c r="W61" s="261"/>
      <c r="X61" s="261"/>
      <c r="Y61" s="261"/>
      <c r="AB61" s="44" t="s">
        <v>458</v>
      </c>
      <c r="AC61" s="38"/>
      <c r="AD61" s="38"/>
      <c r="AE61" s="38"/>
      <c r="AF61" s="96"/>
      <c r="AG61" s="45" t="s">
        <v>473</v>
      </c>
      <c r="AH61" s="43"/>
      <c r="AI61" s="43"/>
      <c r="AJ61" s="43"/>
      <c r="AK61" s="97"/>
      <c r="AL61" s="303" t="s">
        <v>473</v>
      </c>
      <c r="AM61" s="304"/>
      <c r="AN61" s="304"/>
      <c r="AO61" s="304"/>
      <c r="AP61" s="305"/>
      <c r="AQ61" s="308" t="s">
        <v>473</v>
      </c>
      <c r="AR61" s="309"/>
      <c r="AS61" s="309"/>
      <c r="AT61" s="309"/>
      <c r="AU61" s="310"/>
      <c r="AV61" s="45" t="s">
        <v>473</v>
      </c>
      <c r="AW61" s="43"/>
      <c r="AX61" s="43"/>
      <c r="AY61" s="43"/>
      <c r="AZ61" s="97"/>
      <c r="BA61" s="303" t="s">
        <v>473</v>
      </c>
      <c r="BB61" s="304"/>
      <c r="BC61" s="304"/>
      <c r="BD61" s="304"/>
      <c r="BE61" s="305"/>
    </row>
    <row r="62" spans="1:57" x14ac:dyDescent="0.2">
      <c r="C62" s="141" t="str">
        <f>$F$11</f>
        <v>2012-07-01 Voorbeeld 1</v>
      </c>
      <c r="D62" s="90"/>
      <c r="E62" s="111"/>
      <c r="F62" s="247" t="s">
        <v>149</v>
      </c>
      <c r="G62" s="142"/>
      <c r="H62" s="195"/>
      <c r="I62" s="90"/>
      <c r="J62" s="142"/>
      <c r="K62" s="142"/>
      <c r="L62" s="142"/>
      <c r="M62" s="142"/>
      <c r="N62" s="142"/>
      <c r="O62" s="90"/>
      <c r="T62" s="96" t="s">
        <v>441</v>
      </c>
      <c r="U62" s="262" t="s">
        <v>436</v>
      </c>
      <c r="V62" s="262" t="s">
        <v>437</v>
      </c>
      <c r="W62" s="262" t="s">
        <v>438</v>
      </c>
      <c r="X62" s="262" t="s">
        <v>439</v>
      </c>
      <c r="Y62" s="262" t="s">
        <v>440</v>
      </c>
      <c r="AB62" s="39" t="s">
        <v>459</v>
      </c>
      <c r="AC62" s="39"/>
      <c r="AD62" s="39"/>
      <c r="AE62" s="39"/>
      <c r="AF62" s="91"/>
      <c r="AG62" s="41" t="s">
        <v>459</v>
      </c>
      <c r="AH62" s="41"/>
      <c r="AI62" s="41"/>
      <c r="AJ62" s="41"/>
      <c r="AK62" s="92"/>
      <c r="AL62" s="306" t="s">
        <v>459</v>
      </c>
      <c r="AM62" s="306"/>
      <c r="AN62" s="306"/>
      <c r="AO62" s="306"/>
      <c r="AP62" s="300"/>
      <c r="AQ62" s="311" t="s">
        <v>459</v>
      </c>
      <c r="AR62" s="311"/>
      <c r="AS62" s="311"/>
      <c r="AT62" s="311"/>
      <c r="AU62" s="297"/>
      <c r="AV62" s="41" t="s">
        <v>459</v>
      </c>
      <c r="AW62" s="41"/>
      <c r="AX62" s="41"/>
      <c r="AY62" s="41"/>
      <c r="AZ62" s="92"/>
      <c r="BA62" s="306" t="s">
        <v>459</v>
      </c>
      <c r="BB62" s="306"/>
      <c r="BC62" s="306"/>
      <c r="BD62" s="306"/>
      <c r="BE62" s="300"/>
    </row>
    <row r="63" spans="1:57" ht="12.75" customHeight="1" x14ac:dyDescent="0.2">
      <c r="C63" s="143" t="s">
        <v>197</v>
      </c>
      <c r="D63" s="214"/>
      <c r="E63" s="161"/>
      <c r="F63" s="182"/>
      <c r="G63" s="183"/>
      <c r="H63" s="32"/>
      <c r="I63" s="32"/>
      <c r="J63" s="188"/>
      <c r="K63" s="29"/>
      <c r="L63" s="21"/>
      <c r="M63" s="21"/>
      <c r="N63" s="21"/>
      <c r="O63" s="22"/>
      <c r="T63" s="91"/>
      <c r="U63" s="263"/>
      <c r="V63" s="263"/>
      <c r="W63" s="263"/>
      <c r="X63" s="263"/>
      <c r="Y63" s="263"/>
      <c r="AB63" s="39"/>
      <c r="AC63" s="39"/>
      <c r="AD63" s="39"/>
      <c r="AE63" s="39"/>
      <c r="AF63" s="91"/>
      <c r="AG63" s="41"/>
      <c r="AH63" s="41"/>
      <c r="AI63" s="41"/>
      <c r="AJ63" s="41"/>
      <c r="AK63" s="92"/>
      <c r="AL63" s="306"/>
      <c r="AM63" s="306"/>
      <c r="AN63" s="306"/>
      <c r="AO63" s="306"/>
      <c r="AP63" s="300"/>
      <c r="AQ63" s="311"/>
      <c r="AR63" s="311"/>
      <c r="AS63" s="311"/>
      <c r="AT63" s="311"/>
      <c r="AU63" s="297"/>
      <c r="AV63" s="41"/>
      <c r="AW63" s="41"/>
      <c r="AX63" s="41"/>
      <c r="AY63" s="41"/>
      <c r="AZ63" s="92"/>
      <c r="BA63" s="306"/>
      <c r="BB63" s="306"/>
      <c r="BC63" s="306"/>
      <c r="BD63" s="306"/>
      <c r="BE63" s="300"/>
    </row>
    <row r="64" spans="1:57" ht="12.75" customHeight="1" x14ac:dyDescent="0.2">
      <c r="C64" s="145" t="s">
        <v>193</v>
      </c>
      <c r="D64" s="191"/>
      <c r="E64" s="161"/>
      <c r="F64" s="127">
        <f>Stappen!G64</f>
        <v>20</v>
      </c>
      <c r="G64" s="282"/>
      <c r="H64" s="133" t="s">
        <v>46</v>
      </c>
      <c r="I64" s="19"/>
      <c r="J64" s="145" t="s">
        <v>200</v>
      </c>
      <c r="K64" s="30"/>
      <c r="L64" s="19"/>
      <c r="M64" s="19"/>
      <c r="N64" s="19"/>
      <c r="O64" s="18"/>
      <c r="T64" s="91"/>
      <c r="U64" s="263"/>
      <c r="V64" s="264"/>
      <c r="W64" s="263"/>
      <c r="X64" s="264"/>
      <c r="Y64" s="264"/>
      <c r="AB64" s="271">
        <v>3.5</v>
      </c>
      <c r="AC64" s="271">
        <v>4</v>
      </c>
      <c r="AD64" s="271">
        <v>5</v>
      </c>
      <c r="AE64" s="271">
        <v>8</v>
      </c>
      <c r="AF64" s="271"/>
      <c r="AG64" s="276">
        <v>3.5</v>
      </c>
      <c r="AH64" s="276">
        <v>4</v>
      </c>
      <c r="AI64" s="276">
        <v>5</v>
      </c>
      <c r="AJ64" s="276">
        <v>8</v>
      </c>
      <c r="AK64" s="276"/>
      <c r="AL64" s="307">
        <v>3.5</v>
      </c>
      <c r="AM64" s="307">
        <v>4</v>
      </c>
      <c r="AN64" s="307">
        <v>5</v>
      </c>
      <c r="AO64" s="307">
        <v>8</v>
      </c>
      <c r="AP64" s="307"/>
      <c r="AQ64" s="312">
        <v>3.5</v>
      </c>
      <c r="AR64" s="312">
        <v>4</v>
      </c>
      <c r="AS64" s="312">
        <v>5</v>
      </c>
      <c r="AT64" s="312">
        <v>8</v>
      </c>
      <c r="AU64" s="312"/>
      <c r="AV64" s="276">
        <v>3.5</v>
      </c>
      <c r="AW64" s="276">
        <v>4</v>
      </c>
      <c r="AX64" s="276">
        <v>5</v>
      </c>
      <c r="AY64" s="276">
        <v>8</v>
      </c>
      <c r="AZ64" s="276"/>
      <c r="BA64" s="307">
        <v>3.5</v>
      </c>
      <c r="BB64" s="307">
        <v>4</v>
      </c>
      <c r="BC64" s="307">
        <v>5</v>
      </c>
      <c r="BD64" s="307">
        <v>8</v>
      </c>
      <c r="BE64" s="307"/>
    </row>
    <row r="65" spans="3:58" ht="12.75" customHeight="1" x14ac:dyDescent="0.2">
      <c r="C65" s="145" t="s">
        <v>194</v>
      </c>
      <c r="D65" s="191"/>
      <c r="E65" s="161"/>
      <c r="F65" s="127">
        <f>Stappen!G65</f>
        <v>30</v>
      </c>
      <c r="G65" s="282"/>
      <c r="H65" s="133" t="s">
        <v>46</v>
      </c>
      <c r="I65" s="19"/>
      <c r="J65" s="145" t="s">
        <v>475</v>
      </c>
      <c r="K65" s="30"/>
      <c r="L65" s="19"/>
      <c r="M65" s="19"/>
      <c r="N65" s="19"/>
      <c r="O65" s="18"/>
      <c r="T65" s="91"/>
      <c r="U65" s="263"/>
      <c r="V65" s="263"/>
      <c r="W65" s="263"/>
      <c r="X65" s="263"/>
      <c r="Y65" s="264"/>
      <c r="AA65" s="2" t="s">
        <v>464</v>
      </c>
      <c r="AB65" s="3"/>
      <c r="AC65" s="274"/>
      <c r="AD65" s="274"/>
      <c r="AE65" s="3"/>
      <c r="AF65" s="3"/>
      <c r="AG65" s="3"/>
      <c r="AH65" s="274"/>
      <c r="AI65" s="274"/>
      <c r="AJ65" s="3"/>
      <c r="AL65" s="3"/>
      <c r="AM65" s="274"/>
      <c r="AN65" s="274"/>
      <c r="AO65" s="3"/>
      <c r="AQ65" s="3"/>
      <c r="AR65" s="274"/>
      <c r="AS65" s="274"/>
      <c r="AT65" s="3"/>
      <c r="AV65" s="3"/>
      <c r="AW65" s="274"/>
      <c r="AX65" s="274"/>
      <c r="AY65" s="3"/>
      <c r="BA65" s="3"/>
      <c r="BB65" s="274"/>
      <c r="BC65" s="274"/>
      <c r="BD65" s="3"/>
    </row>
    <row r="66" spans="3:58" ht="12.75" customHeight="1" x14ac:dyDescent="0.2">
      <c r="C66" s="145" t="s">
        <v>196</v>
      </c>
      <c r="D66" s="191"/>
      <c r="E66" s="161"/>
      <c r="F66" s="127">
        <f>Stappen!G66</f>
        <v>20</v>
      </c>
      <c r="G66" s="282"/>
      <c r="H66" s="133" t="s">
        <v>46</v>
      </c>
      <c r="I66" s="19"/>
      <c r="J66" s="145" t="s">
        <v>260</v>
      </c>
      <c r="K66" s="30"/>
      <c r="L66" s="19"/>
      <c r="M66" s="19"/>
      <c r="N66" s="19"/>
      <c r="O66" s="18"/>
      <c r="T66" s="91"/>
      <c r="U66" s="263"/>
      <c r="V66" s="263"/>
      <c r="W66" s="263"/>
      <c r="X66" s="263"/>
      <c r="Y66" s="264"/>
      <c r="AA66" s="2" t="s">
        <v>469</v>
      </c>
      <c r="AB66" s="3"/>
      <c r="AC66" s="3"/>
      <c r="AD66" s="3"/>
      <c r="AE66" s="274"/>
      <c r="AF66" s="3"/>
      <c r="AG66" s="3"/>
      <c r="AH66" s="3"/>
      <c r="AI66" s="3"/>
      <c r="AJ66" s="274"/>
      <c r="AL66" s="3"/>
      <c r="AM66" s="3"/>
      <c r="AN66" s="3"/>
      <c r="AO66" s="274"/>
      <c r="AQ66" s="3"/>
      <c r="AR66" s="3"/>
      <c r="AS66" s="3"/>
      <c r="AT66" s="274"/>
      <c r="AV66" s="3"/>
      <c r="AW66" s="3"/>
      <c r="AX66" s="3"/>
      <c r="AY66" s="274"/>
      <c r="BA66" s="3"/>
      <c r="BB66" s="3"/>
      <c r="BC66" s="3"/>
      <c r="BD66" s="274"/>
    </row>
    <row r="67" spans="3:58" ht="12.75" customHeight="1" x14ac:dyDescent="0.2">
      <c r="C67" s="145" t="s">
        <v>195</v>
      </c>
      <c r="D67" s="191"/>
      <c r="E67" s="161"/>
      <c r="F67" s="127">
        <f>Stappen!G67</f>
        <v>30</v>
      </c>
      <c r="G67" s="282"/>
      <c r="H67" s="133" t="s">
        <v>46</v>
      </c>
      <c r="I67" s="19"/>
      <c r="J67" s="145"/>
      <c r="K67" s="30"/>
      <c r="L67" s="19"/>
      <c r="M67" s="19"/>
      <c r="N67" s="19"/>
      <c r="O67" s="18"/>
      <c r="T67" s="91"/>
      <c r="U67" s="263"/>
      <c r="V67" s="263"/>
      <c r="W67" s="263"/>
      <c r="X67" s="263"/>
      <c r="Y67" s="263"/>
      <c r="AA67" s="2" t="s">
        <v>465</v>
      </c>
      <c r="AB67" s="274"/>
      <c r="AC67" s="274"/>
      <c r="AD67" s="274"/>
      <c r="AE67" s="274"/>
      <c r="AF67" s="3"/>
      <c r="AG67" s="274"/>
      <c r="AH67" s="274"/>
      <c r="AI67" s="274"/>
      <c r="AJ67" s="274"/>
      <c r="AL67" s="274"/>
      <c r="AM67" s="274"/>
      <c r="AN67" s="274"/>
      <c r="AO67" s="274"/>
      <c r="AQ67" s="274"/>
      <c r="AR67" s="274"/>
      <c r="AS67" s="274"/>
      <c r="AT67" s="274"/>
      <c r="AV67" s="274"/>
      <c r="AW67" s="274"/>
      <c r="AX67" s="274"/>
      <c r="AY67" s="274"/>
      <c r="BA67" s="274"/>
      <c r="BB67" s="274"/>
      <c r="BC67" s="274"/>
      <c r="BD67" s="274"/>
    </row>
    <row r="68" spans="3:58" ht="12.75" customHeight="1" x14ac:dyDescent="0.2">
      <c r="C68" s="146" t="s">
        <v>198</v>
      </c>
      <c r="D68" s="215"/>
      <c r="E68" s="161"/>
      <c r="F68" s="182"/>
      <c r="G68" s="184"/>
      <c r="H68" s="283"/>
      <c r="I68" s="32"/>
      <c r="J68" s="145"/>
      <c r="K68" s="30"/>
      <c r="L68" s="19"/>
      <c r="M68" s="19"/>
      <c r="N68" s="19"/>
      <c r="O68" s="18"/>
      <c r="T68" s="91"/>
      <c r="U68" s="263"/>
      <c r="V68" s="263"/>
      <c r="W68" s="263"/>
      <c r="X68" s="263"/>
      <c r="Y68" s="263"/>
      <c r="AA68" s="2" t="s">
        <v>470</v>
      </c>
      <c r="AB68" s="3"/>
      <c r="AC68" s="3"/>
      <c r="AD68" s="274"/>
      <c r="AE68" s="274"/>
      <c r="AF68" s="3"/>
      <c r="AG68" s="3"/>
      <c r="AH68" s="3"/>
      <c r="AI68" s="274"/>
      <c r="AJ68" s="274"/>
      <c r="AL68" s="3"/>
      <c r="AM68" s="3"/>
      <c r="AN68" s="274"/>
      <c r="AO68" s="274"/>
      <c r="AQ68" s="3"/>
      <c r="AR68" s="3"/>
      <c r="AS68" s="274"/>
      <c r="AT68" s="274"/>
      <c r="AV68" s="3"/>
      <c r="AW68" s="3"/>
      <c r="AX68" s="274"/>
      <c r="AY68" s="274"/>
      <c r="BA68" s="3"/>
      <c r="BB68" s="3"/>
      <c r="BC68" s="274"/>
      <c r="BD68" s="274"/>
    </row>
    <row r="69" spans="3:58" ht="12.75" customHeight="1" x14ac:dyDescent="0.2">
      <c r="C69" s="145" t="s">
        <v>193</v>
      </c>
      <c r="D69" s="191"/>
      <c r="E69" s="161"/>
      <c r="F69" s="127">
        <f>Stappen!G69</f>
        <v>20</v>
      </c>
      <c r="G69" s="282"/>
      <c r="H69" s="133" t="s">
        <v>46</v>
      </c>
      <c r="I69" s="19"/>
      <c r="J69" s="145" t="s">
        <v>201</v>
      </c>
      <c r="K69" s="30"/>
      <c r="L69" s="19"/>
      <c r="M69" s="19"/>
      <c r="N69" s="19"/>
      <c r="O69" s="18"/>
      <c r="T69" s="91"/>
      <c r="U69" s="263"/>
      <c r="V69" s="264"/>
      <c r="W69" s="263"/>
      <c r="X69" s="264"/>
      <c r="Y69" s="264"/>
      <c r="AA69" s="2" t="s">
        <v>460</v>
      </c>
      <c r="AB69" s="274"/>
      <c r="AC69" s="274"/>
      <c r="AD69" s="3"/>
      <c r="AE69" s="3"/>
      <c r="AF69" s="3"/>
      <c r="AG69" s="274"/>
      <c r="AH69" s="274"/>
      <c r="AI69" s="3"/>
      <c r="AJ69" s="3"/>
      <c r="AL69" s="274"/>
      <c r="AM69" s="274"/>
      <c r="AN69" s="3"/>
      <c r="AO69" s="3"/>
      <c r="AQ69" s="274"/>
      <c r="AR69" s="274"/>
      <c r="AS69" s="3"/>
      <c r="AT69" s="3"/>
      <c r="AV69" s="274"/>
      <c r="AW69" s="274"/>
      <c r="AX69" s="3"/>
      <c r="AY69" s="3"/>
      <c r="BA69" s="274"/>
      <c r="BB69" s="274"/>
      <c r="BC69" s="3"/>
      <c r="BD69" s="3"/>
    </row>
    <row r="70" spans="3:58" ht="12.75" customHeight="1" x14ac:dyDescent="0.2">
      <c r="C70" s="145" t="s">
        <v>194</v>
      </c>
      <c r="D70" s="191"/>
      <c r="E70" s="161"/>
      <c r="F70" s="127">
        <f>Stappen!G70</f>
        <v>30</v>
      </c>
      <c r="G70" s="282"/>
      <c r="H70" s="133" t="s">
        <v>46</v>
      </c>
      <c r="I70" s="19"/>
      <c r="J70" s="145" t="s">
        <v>475</v>
      </c>
      <c r="K70" s="30"/>
      <c r="L70" s="19"/>
      <c r="M70" s="19"/>
      <c r="N70" s="19"/>
      <c r="O70" s="18"/>
      <c r="T70" s="91"/>
      <c r="U70" s="263"/>
      <c r="V70" s="263"/>
      <c r="W70" s="263"/>
      <c r="X70" s="263"/>
      <c r="Y70" s="264"/>
      <c r="AA70" s="2" t="s">
        <v>472</v>
      </c>
      <c r="AB70" s="274"/>
      <c r="AC70" s="274"/>
      <c r="AD70" s="3"/>
      <c r="AE70" s="274"/>
      <c r="AF70" s="3"/>
      <c r="AG70" s="274"/>
      <c r="AH70" s="274"/>
      <c r="AI70" s="3"/>
      <c r="AJ70" s="274"/>
      <c r="AL70" s="274"/>
      <c r="AM70" s="274"/>
      <c r="AN70" s="3"/>
      <c r="AO70" s="274"/>
      <c r="AQ70" s="274"/>
      <c r="AR70" s="274"/>
      <c r="AS70" s="3"/>
      <c r="AT70" s="274"/>
      <c r="AV70" s="274"/>
      <c r="AW70" s="274"/>
      <c r="AX70" s="3"/>
      <c r="AY70" s="274"/>
      <c r="BA70" s="274"/>
      <c r="BB70" s="274"/>
      <c r="BC70" s="3"/>
      <c r="BD70" s="274"/>
    </row>
    <row r="71" spans="3:58" ht="12.75" customHeight="1" x14ac:dyDescent="0.2">
      <c r="C71" s="145" t="s">
        <v>196</v>
      </c>
      <c r="D71" s="191"/>
      <c r="E71" s="161"/>
      <c r="F71" s="127">
        <f>Stappen!G71</f>
        <v>20</v>
      </c>
      <c r="G71" s="282"/>
      <c r="H71" s="133" t="s">
        <v>46</v>
      </c>
      <c r="I71" s="19"/>
      <c r="J71" s="145" t="s">
        <v>261</v>
      </c>
      <c r="K71" s="30"/>
      <c r="L71" s="19"/>
      <c r="M71" s="19"/>
      <c r="N71" s="19"/>
      <c r="O71" s="18"/>
      <c r="T71" s="91"/>
      <c r="U71" s="263"/>
      <c r="V71" s="263"/>
      <c r="W71" s="263"/>
      <c r="X71" s="263"/>
      <c r="Y71" s="264"/>
      <c r="AA71" s="2" t="s">
        <v>471</v>
      </c>
      <c r="AB71" s="274"/>
      <c r="AC71" s="274"/>
      <c r="AD71" s="274"/>
      <c r="AE71" s="274"/>
      <c r="AF71" s="3"/>
      <c r="AG71" s="274"/>
      <c r="AH71" s="274"/>
      <c r="AI71" s="274"/>
      <c r="AJ71" s="274"/>
      <c r="AL71" s="274"/>
      <c r="AM71" s="274"/>
      <c r="AN71" s="274"/>
      <c r="AO71" s="274"/>
      <c r="AQ71" s="274"/>
      <c r="AR71" s="274"/>
      <c r="AS71" s="274"/>
      <c r="AT71" s="274"/>
      <c r="AV71" s="274"/>
      <c r="AW71" s="274"/>
      <c r="AX71" s="274"/>
      <c r="AY71" s="274"/>
      <c r="BA71" s="274"/>
      <c r="BB71" s="274"/>
      <c r="BC71" s="274"/>
      <c r="BD71" s="274"/>
    </row>
    <row r="72" spans="3:58" ht="12.75" customHeight="1" x14ac:dyDescent="0.2">
      <c r="C72" s="145" t="s">
        <v>195</v>
      </c>
      <c r="D72" s="191"/>
      <c r="E72" s="161"/>
      <c r="F72" s="127">
        <f>Stappen!G72</f>
        <v>30</v>
      </c>
      <c r="G72" s="282"/>
      <c r="H72" s="133" t="s">
        <v>46</v>
      </c>
      <c r="I72" s="19"/>
      <c r="J72" s="16"/>
      <c r="K72" s="30"/>
      <c r="L72" s="19"/>
      <c r="M72" s="19"/>
      <c r="N72" s="19"/>
      <c r="O72" s="18"/>
      <c r="T72" s="91"/>
      <c r="U72" s="263"/>
      <c r="V72" s="263"/>
      <c r="W72" s="263"/>
      <c r="X72" s="263"/>
      <c r="Y72" s="263"/>
      <c r="AA72" s="2" t="s">
        <v>463</v>
      </c>
      <c r="AB72" s="274">
        <f>Kostengegevens!C37</f>
        <v>0</v>
      </c>
      <c r="AC72" s="274">
        <f>Kostengegevens!D37</f>
        <v>0</v>
      </c>
      <c r="AD72" s="274">
        <f>Kostengegevens!E37</f>
        <v>0</v>
      </c>
      <c r="AE72" s="274">
        <f>Kostengegevens!F37</f>
        <v>0</v>
      </c>
      <c r="AF72" s="3"/>
      <c r="AG72" s="274">
        <f>Kostengegevens!H37</f>
        <v>0</v>
      </c>
      <c r="AH72" s="274">
        <f>Kostengegevens!I37</f>
        <v>0</v>
      </c>
      <c r="AI72" s="274">
        <f>Kostengegevens!J37</f>
        <v>0</v>
      </c>
      <c r="AJ72" s="274">
        <f>Kostengegevens!K37</f>
        <v>0</v>
      </c>
      <c r="AL72" s="274">
        <f>Kostengegevens!M37</f>
        <v>0</v>
      </c>
      <c r="AM72" s="274">
        <f>Kostengegevens!N37</f>
        <v>0</v>
      </c>
      <c r="AN72" s="274">
        <f>Kostengegevens!O37</f>
        <v>0</v>
      </c>
      <c r="AO72" s="274">
        <f>Kostengegevens!P37</f>
        <v>0</v>
      </c>
      <c r="AQ72" s="274">
        <f>Kostengegevens!R37</f>
        <v>0</v>
      </c>
      <c r="AR72" s="274">
        <f>Kostengegevens!S37</f>
        <v>0</v>
      </c>
      <c r="AS72" s="274">
        <f>Kostengegevens!T37</f>
        <v>0</v>
      </c>
      <c r="AT72" s="274">
        <f>Kostengegevens!U37</f>
        <v>0</v>
      </c>
      <c r="AV72" s="274">
        <f>Kostengegevens!W37</f>
        <v>0</v>
      </c>
      <c r="AW72" s="274">
        <f>Kostengegevens!X37</f>
        <v>0</v>
      </c>
      <c r="AX72" s="274">
        <f>Kostengegevens!Y37</f>
        <v>0</v>
      </c>
      <c r="AY72" s="274">
        <f>Kostengegevens!Z37</f>
        <v>0</v>
      </c>
      <c r="BA72" s="274">
        <f>Kostengegevens!AB37</f>
        <v>0</v>
      </c>
      <c r="BB72" s="274">
        <f>Kostengegevens!AC37</f>
        <v>0</v>
      </c>
      <c r="BC72" s="274">
        <f>Kostengegevens!AD37</f>
        <v>0</v>
      </c>
      <c r="BD72" s="274">
        <f>Kostengegevens!AE37</f>
        <v>0</v>
      </c>
    </row>
    <row r="73" spans="3:58" ht="12.75" customHeight="1" x14ac:dyDescent="0.2">
      <c r="C73" s="146" t="s">
        <v>187</v>
      </c>
      <c r="D73" s="215"/>
      <c r="E73" s="161"/>
      <c r="F73" s="182"/>
      <c r="G73" s="184"/>
      <c r="H73" s="32"/>
      <c r="I73" s="32"/>
      <c r="J73" s="189"/>
      <c r="K73" s="30"/>
      <c r="L73" s="186"/>
      <c r="M73" s="19"/>
      <c r="N73" s="19"/>
      <c r="O73" s="18"/>
      <c r="T73" s="91"/>
      <c r="U73" s="263"/>
      <c r="V73" s="263"/>
      <c r="W73" s="263"/>
      <c r="X73" s="263"/>
      <c r="Y73" s="263"/>
    </row>
    <row r="74" spans="3:58" ht="12.75" customHeight="1" x14ac:dyDescent="0.2">
      <c r="C74" s="145" t="s">
        <v>245</v>
      </c>
      <c r="D74" s="191"/>
      <c r="E74" s="161"/>
      <c r="F74" s="285" t="str">
        <f>Stappen!G74</f>
        <v>Rc=3,5</v>
      </c>
      <c r="G74" s="284"/>
      <c r="H74" s="133" t="s">
        <v>205</v>
      </c>
      <c r="I74" s="133"/>
      <c r="J74" s="145" t="s">
        <v>248</v>
      </c>
      <c r="K74" s="30"/>
      <c r="L74" s="19"/>
      <c r="M74" s="19"/>
      <c r="N74" s="19"/>
      <c r="O74" s="18"/>
      <c r="T74" s="91" t="str">
        <f>Stappen!T74</f>
        <v>Rc=3,5</v>
      </c>
      <c r="U74" s="263" t="s">
        <v>181</v>
      </c>
      <c r="V74" s="263" t="s">
        <v>182</v>
      </c>
      <c r="W74" s="263" t="s">
        <v>183</v>
      </c>
      <c r="X74" s="263" t="s">
        <v>184</v>
      </c>
      <c r="Y74" s="263"/>
      <c r="AA74" s="2" t="s">
        <v>245</v>
      </c>
      <c r="AB74" s="4">
        <f>IF(F74=U74,3.5,IF(F74=V74,4,IF(F74=W74,5,IF(F74=X74,8,"fout"))))</f>
        <v>3.5</v>
      </c>
      <c r="BF74" s="2" t="s">
        <v>38</v>
      </c>
    </row>
    <row r="75" spans="3:58" ht="12.75" customHeight="1" x14ac:dyDescent="0.2">
      <c r="C75" s="145" t="s">
        <v>246</v>
      </c>
      <c r="D75" s="191"/>
      <c r="E75" s="161"/>
      <c r="F75" s="285" t="str">
        <f>Stappen!G75</f>
        <v>Rc=3,5</v>
      </c>
      <c r="G75" s="284"/>
      <c r="H75" s="133" t="s">
        <v>205</v>
      </c>
      <c r="I75" s="19"/>
      <c r="J75" s="145" t="s">
        <v>249</v>
      </c>
      <c r="K75" s="30"/>
      <c r="L75" s="19"/>
      <c r="M75" s="19"/>
      <c r="N75" s="19"/>
      <c r="O75" s="18"/>
      <c r="T75" s="91" t="str">
        <f>Stappen!T75</f>
        <v>Rc=3,5</v>
      </c>
      <c r="U75" s="263" t="s">
        <v>181</v>
      </c>
      <c r="V75" s="263" t="s">
        <v>182</v>
      </c>
      <c r="W75" s="263" t="s">
        <v>183</v>
      </c>
      <c r="X75" s="263" t="s">
        <v>184</v>
      </c>
      <c r="Y75" s="263"/>
      <c r="AA75" s="2" t="s">
        <v>246</v>
      </c>
      <c r="AB75" s="4">
        <f t="shared" ref="AB75:AB76" si="8">IF(F75=U75,3.5,IF(F75=V75,4,IF(F75=W75,5,IF(F75=X75,8,"fout"))))</f>
        <v>3.5</v>
      </c>
      <c r="BF75" s="2" t="s">
        <v>39</v>
      </c>
    </row>
    <row r="76" spans="3:58" ht="12.75" customHeight="1" x14ac:dyDescent="0.2">
      <c r="C76" s="145" t="s">
        <v>247</v>
      </c>
      <c r="D76" s="191"/>
      <c r="E76" s="161"/>
      <c r="F76" s="285" t="str">
        <f>Stappen!G76</f>
        <v>Rc=3,5</v>
      </c>
      <c r="G76" s="284"/>
      <c r="H76" s="133" t="s">
        <v>205</v>
      </c>
      <c r="I76" s="19"/>
      <c r="J76" s="145" t="s">
        <v>250</v>
      </c>
      <c r="K76" s="30"/>
      <c r="L76" s="19"/>
      <c r="M76" s="19"/>
      <c r="N76" s="19"/>
      <c r="O76" s="18"/>
      <c r="T76" s="91" t="str">
        <f>Stappen!T76</f>
        <v>Rc=3,5</v>
      </c>
      <c r="U76" s="263" t="s">
        <v>181</v>
      </c>
      <c r="V76" s="263" t="s">
        <v>182</v>
      </c>
      <c r="W76" s="263" t="s">
        <v>183</v>
      </c>
      <c r="X76" s="263" t="s">
        <v>184</v>
      </c>
      <c r="Y76" s="263"/>
      <c r="AA76" s="2" t="s">
        <v>247</v>
      </c>
      <c r="AB76" s="4">
        <f t="shared" si="8"/>
        <v>3.5</v>
      </c>
      <c r="BF76" s="2" t="s">
        <v>40</v>
      </c>
    </row>
    <row r="77" spans="3:58" ht="12.75" customHeight="1" x14ac:dyDescent="0.2">
      <c r="C77" s="146" t="s">
        <v>188</v>
      </c>
      <c r="D77" s="215"/>
      <c r="E77" s="161"/>
      <c r="F77" s="182"/>
      <c r="G77" s="184"/>
      <c r="H77" s="32"/>
      <c r="I77" s="32"/>
      <c r="J77" s="16"/>
      <c r="K77" s="19"/>
      <c r="L77" s="19"/>
      <c r="M77" s="19"/>
      <c r="N77" s="19"/>
      <c r="O77" s="18"/>
      <c r="T77" s="91"/>
      <c r="U77" s="263"/>
      <c r="V77" s="263"/>
      <c r="W77" s="263"/>
      <c r="X77" s="263"/>
      <c r="Y77" s="263"/>
    </row>
    <row r="78" spans="3:58" ht="12.75" customHeight="1" x14ac:dyDescent="0.2">
      <c r="C78" s="145" t="s">
        <v>268</v>
      </c>
      <c r="D78" s="191"/>
      <c r="E78" s="161"/>
      <c r="F78" s="285" t="str">
        <f>Stappen!G78</f>
        <v>U=1,65</v>
      </c>
      <c r="G78" s="284"/>
      <c r="H78" s="133" t="s">
        <v>206</v>
      </c>
      <c r="I78" s="19"/>
      <c r="J78" s="145" t="s">
        <v>411</v>
      </c>
      <c r="K78" s="19"/>
      <c r="L78" s="19"/>
      <c r="M78" s="19"/>
      <c r="N78" s="19"/>
      <c r="O78" s="18"/>
      <c r="T78" s="91" t="str">
        <f>Stappen!T78</f>
        <v>U=1,65</v>
      </c>
      <c r="U78" s="265" t="s">
        <v>208</v>
      </c>
      <c r="V78" s="265" t="s">
        <v>209</v>
      </c>
      <c r="W78" s="263"/>
      <c r="X78" s="263"/>
      <c r="Y78" s="263"/>
      <c r="AA78" s="2" t="s">
        <v>460</v>
      </c>
      <c r="AB78" s="4">
        <f>IF(F78=U78,1.65,IF(F78=V78,0.95,"fout"))</f>
        <v>1.65</v>
      </c>
      <c r="BF78" s="2" t="s">
        <v>16</v>
      </c>
    </row>
    <row r="79" spans="3:58" ht="12.75" customHeight="1" x14ac:dyDescent="0.2">
      <c r="C79" s="145" t="s">
        <v>269</v>
      </c>
      <c r="D79" s="191"/>
      <c r="E79" s="161"/>
      <c r="F79" s="285" t="str">
        <f>Stappen!G79</f>
        <v>U=1,65</v>
      </c>
      <c r="G79" s="284"/>
      <c r="H79" s="133" t="s">
        <v>206</v>
      </c>
      <c r="I79" s="19"/>
      <c r="J79" s="145" t="s">
        <v>207</v>
      </c>
      <c r="K79" s="19"/>
      <c r="L79" s="19"/>
      <c r="M79" s="19"/>
      <c r="N79" s="19"/>
      <c r="O79" s="18"/>
      <c r="T79" s="91" t="str">
        <f>Stappen!T79</f>
        <v>U=1,65</v>
      </c>
      <c r="U79" s="265" t="s">
        <v>208</v>
      </c>
      <c r="V79" s="265" t="s">
        <v>209</v>
      </c>
      <c r="W79" s="263"/>
      <c r="X79" s="263"/>
      <c r="Y79" s="263"/>
      <c r="AA79" s="2" t="s">
        <v>461</v>
      </c>
      <c r="AB79" s="4">
        <f>IF(F79=U79,1.65,IF(F79=V79,0.95,"fout"))</f>
        <v>1.65</v>
      </c>
      <c r="BF79" s="2" t="s">
        <v>41</v>
      </c>
    </row>
    <row r="80" spans="3:58" ht="12.75" customHeight="1" x14ac:dyDescent="0.2">
      <c r="C80" s="146" t="s">
        <v>189</v>
      </c>
      <c r="D80" s="215"/>
      <c r="E80" s="161"/>
      <c r="F80" s="182"/>
      <c r="G80" s="184"/>
      <c r="H80" s="32"/>
      <c r="I80" s="32"/>
      <c r="J80" s="189"/>
      <c r="K80" s="19"/>
      <c r="L80" s="19"/>
      <c r="M80" s="19"/>
      <c r="N80" s="19"/>
      <c r="O80" s="18"/>
      <c r="T80" s="91"/>
      <c r="U80" s="263"/>
      <c r="V80" s="263"/>
      <c r="W80" s="263"/>
      <c r="X80" s="263"/>
      <c r="Y80" s="263"/>
    </row>
    <row r="81" spans="2:58" ht="12.75" customHeight="1" x14ac:dyDescent="0.2">
      <c r="C81" s="145" t="s">
        <v>270</v>
      </c>
      <c r="D81" s="191"/>
      <c r="E81" s="161"/>
      <c r="F81" s="127">
        <f>Stappen!G81</f>
        <v>0</v>
      </c>
      <c r="G81" s="282"/>
      <c r="H81" s="133" t="s">
        <v>46</v>
      </c>
      <c r="I81" s="19"/>
      <c r="J81" s="145" t="s">
        <v>279</v>
      </c>
      <c r="K81" s="19"/>
      <c r="L81" s="19"/>
      <c r="M81" s="19"/>
      <c r="N81" s="19"/>
      <c r="O81" s="18"/>
      <c r="T81" s="268">
        <f>Stappen!T81</f>
        <v>0</v>
      </c>
      <c r="U81" s="266">
        <v>0</v>
      </c>
      <c r="V81" s="266">
        <v>20</v>
      </c>
      <c r="W81" s="266">
        <v>40</v>
      </c>
      <c r="X81" s="266">
        <v>60</v>
      </c>
      <c r="Y81" s="266">
        <v>80</v>
      </c>
      <c r="AA81" s="2" t="s">
        <v>462</v>
      </c>
      <c r="AB81" s="277">
        <f>F81/100</f>
        <v>0</v>
      </c>
      <c r="AC81" s="82"/>
      <c r="BF81" s="2" t="s">
        <v>185</v>
      </c>
    </row>
    <row r="82" spans="2:58" ht="12.75" customHeight="1" x14ac:dyDescent="0.2">
      <c r="B82" s="151"/>
      <c r="C82" s="145" t="s">
        <v>271</v>
      </c>
      <c r="D82" s="191"/>
      <c r="E82" s="161"/>
      <c r="F82" s="127">
        <f>Stappen!G82</f>
        <v>0</v>
      </c>
      <c r="G82" s="282"/>
      <c r="H82" s="133" t="s">
        <v>46</v>
      </c>
      <c r="I82" s="19"/>
      <c r="J82" s="145" t="s">
        <v>280</v>
      </c>
      <c r="K82" s="19"/>
      <c r="L82" s="19"/>
      <c r="M82" s="19"/>
      <c r="N82" s="19"/>
      <c r="O82" s="18"/>
      <c r="T82" s="268">
        <f>Stappen!T82</f>
        <v>0</v>
      </c>
      <c r="U82" s="266">
        <v>0</v>
      </c>
      <c r="V82" s="266">
        <v>20</v>
      </c>
      <c r="W82" s="266">
        <v>40</v>
      </c>
      <c r="X82" s="266">
        <v>60</v>
      </c>
      <c r="Y82" s="266">
        <v>80</v>
      </c>
      <c r="AA82" s="2" t="s">
        <v>463</v>
      </c>
      <c r="AB82" s="277">
        <f>F82/100</f>
        <v>0</v>
      </c>
      <c r="AC82" s="82"/>
      <c r="BF82" s="2" t="s">
        <v>186</v>
      </c>
    </row>
    <row r="83" spans="2:58" ht="12.75" customHeight="1" x14ac:dyDescent="0.2">
      <c r="C83" s="146" t="s">
        <v>42</v>
      </c>
      <c r="D83" s="215"/>
      <c r="E83" s="161"/>
      <c r="F83" s="182"/>
      <c r="G83" s="184"/>
      <c r="H83" s="32"/>
      <c r="I83" s="32"/>
      <c r="J83" s="187"/>
      <c r="K83" s="30"/>
      <c r="L83" s="186"/>
      <c r="M83" s="19"/>
      <c r="N83" s="19"/>
      <c r="O83" s="18"/>
      <c r="T83" s="91"/>
      <c r="U83" s="263"/>
      <c r="V83" s="263"/>
      <c r="W83" s="263"/>
      <c r="X83" s="263"/>
      <c r="Y83" s="263"/>
      <c r="AB83" s="2">
        <v>1</v>
      </c>
      <c r="AC83" s="2">
        <v>2</v>
      </c>
      <c r="AD83" s="2">
        <v>3</v>
      </c>
      <c r="AE83" s="2">
        <v>4</v>
      </c>
      <c r="AF83" s="2">
        <v>5</v>
      </c>
      <c r="AG83" s="2">
        <v>1</v>
      </c>
      <c r="AH83" s="2">
        <v>2</v>
      </c>
      <c r="AI83" s="2">
        <v>3</v>
      </c>
      <c r="AJ83" s="2">
        <v>4</v>
      </c>
      <c r="AK83" s="2">
        <v>5</v>
      </c>
      <c r="AL83" s="2">
        <v>1</v>
      </c>
      <c r="AM83" s="2">
        <v>2</v>
      </c>
      <c r="AN83" s="2">
        <v>3</v>
      </c>
      <c r="AO83" s="2">
        <v>4</v>
      </c>
      <c r="AP83" s="2">
        <v>5</v>
      </c>
      <c r="AQ83" s="2">
        <v>1</v>
      </c>
      <c r="AR83" s="2">
        <v>2</v>
      </c>
      <c r="AS83" s="2">
        <v>3</v>
      </c>
      <c r="AT83" s="2">
        <v>4</v>
      </c>
      <c r="AU83" s="2">
        <v>5</v>
      </c>
      <c r="AV83" s="2">
        <v>1</v>
      </c>
      <c r="AW83" s="2">
        <v>2</v>
      </c>
      <c r="AX83" s="2">
        <v>3</v>
      </c>
      <c r="AY83" s="2">
        <v>4</v>
      </c>
      <c r="AZ83" s="2">
        <v>5</v>
      </c>
      <c r="BA83" s="2">
        <v>1</v>
      </c>
      <c r="BB83" s="2">
        <v>2</v>
      </c>
      <c r="BC83" s="2">
        <v>3</v>
      </c>
      <c r="BD83" s="2">
        <v>4</v>
      </c>
      <c r="BE83" s="2">
        <v>5</v>
      </c>
    </row>
    <row r="84" spans="2:58" ht="12.75" customHeight="1" x14ac:dyDescent="0.25">
      <c r="C84" s="145" t="s">
        <v>272</v>
      </c>
      <c r="D84" s="191"/>
      <c r="E84" s="161"/>
      <c r="F84" s="285" t="str">
        <f>Stappen!G84</f>
        <v>1.HRk</v>
      </c>
      <c r="G84" s="284"/>
      <c r="H84" s="133" t="s">
        <v>211</v>
      </c>
      <c r="I84" s="19"/>
      <c r="J84" s="145" t="str">
        <f>IF(F84=U84,"1.HRk = HR107-ketel (woningbouw individueel)",IF(F84=V84,"2.HRg = HR107-ketel groot (collectief)",IF(F84=W84,"3.WPbg = (gas) warmtepomp - bodem",IF(F84=X84,"4.WPbe = (elektr.) warmtepomp - bodem",IF(F84=Y84,"5.WPre = (elektr.) warmtepomp - retourlucht",)))))</f>
        <v>1.HRk = HR107-ketel (woningbouw individueel)</v>
      </c>
      <c r="K84" s="19"/>
      <c r="L84" s="19"/>
      <c r="M84" s="207"/>
      <c r="N84" s="19"/>
      <c r="O84" s="18"/>
      <c r="T84" s="268" t="str">
        <f>Stappen!T84</f>
        <v>1.HRk</v>
      </c>
      <c r="U84" s="181" t="s">
        <v>215</v>
      </c>
      <c r="V84" s="181" t="s">
        <v>216</v>
      </c>
      <c r="W84" s="181" t="s">
        <v>217</v>
      </c>
      <c r="X84" s="181" t="s">
        <v>218</v>
      </c>
      <c r="Y84" s="181" t="s">
        <v>219</v>
      </c>
      <c r="AA84" s="2" t="s">
        <v>272</v>
      </c>
      <c r="AB84" s="4">
        <f>IF(F84=U84,1,IF(F84=V84,2,IF(F84=W84,3,IF(F84=X84,4,5))))</f>
        <v>1</v>
      </c>
      <c r="AC84" s="281">
        <f>Kostengegevens!C61</f>
        <v>25.78</v>
      </c>
      <c r="AH84" s="281">
        <f>Kostengegevens!H61</f>
        <v>3.335116062273753</v>
      </c>
      <c r="AM84" s="281">
        <f>Kostengegevens!M61</f>
        <v>8.7105228355005266</v>
      </c>
      <c r="AR84" s="281">
        <f>Kostengegevens!R61</f>
        <v>132.4035366442852</v>
      </c>
      <c r="AW84" s="281">
        <f>Kostengegevens!W61</f>
        <v>0.90922555580475872</v>
      </c>
      <c r="BB84" s="281">
        <f>Kostengegevens!AB61</f>
        <v>3.1031186023050199</v>
      </c>
      <c r="BF84" s="4" t="s">
        <v>203</v>
      </c>
    </row>
    <row r="85" spans="2:58" ht="12.75" customHeight="1" x14ac:dyDescent="0.25">
      <c r="C85" s="145" t="s">
        <v>273</v>
      </c>
      <c r="D85" s="191"/>
      <c r="E85" s="161"/>
      <c r="F85" s="285" t="str">
        <f>Stappen!G85</f>
        <v>1.HTr</v>
      </c>
      <c r="G85" s="284"/>
      <c r="H85" s="133" t="s">
        <v>211</v>
      </c>
      <c r="I85" s="19"/>
      <c r="J85" s="145" t="str">
        <f>IF(F85=U85,"1.HTr = hoge temperatuur-verwarming (radiatoren)",IF(F85=V85,"2.LTv = lage temperatuur-verwarming (vloer-)",IF(F85=W85,"3.LV = luchtverwarming",IF(F85=X85,"niet gedefinieerd",IF(F85=Y85,"niet gedefinieerd",)))))</f>
        <v>1.HTr = hoge temperatuur-verwarming (radiatoren)</v>
      </c>
      <c r="K85" s="19"/>
      <c r="L85" s="19"/>
      <c r="M85" s="207"/>
      <c r="N85" s="19"/>
      <c r="O85" s="18"/>
      <c r="T85" s="268" t="str">
        <f>Stappen!T85</f>
        <v>1.HTr</v>
      </c>
      <c r="U85" s="181" t="s">
        <v>220</v>
      </c>
      <c r="V85" s="181" t="s">
        <v>221</v>
      </c>
      <c r="W85" s="181" t="s">
        <v>222</v>
      </c>
      <c r="X85" s="181"/>
      <c r="Y85" s="181"/>
      <c r="AA85" s="2" t="s">
        <v>273</v>
      </c>
      <c r="AB85" s="4">
        <f t="shared" ref="AB85:AB89" si="9">IF(F85=U85,1,IF(F85=V85,2,IF(F85=W85,3,IF(F85=X85,4,5))))</f>
        <v>1</v>
      </c>
      <c r="AC85" s="281">
        <f>Kostengegevens!C62</f>
        <v>24.5</v>
      </c>
      <c r="AH85" s="281">
        <f>Kostengegevens!H62</f>
        <v>3.1695245743098117</v>
      </c>
      <c r="AM85" s="281">
        <f>Kostengegevens!M62</f>
        <v>8.2780376054989482</v>
      </c>
      <c r="AR85" s="281">
        <f>Kostengegevens!R62</f>
        <v>125.82958292416551</v>
      </c>
      <c r="AW85" s="281">
        <f>Kostengegevens!W62</f>
        <v>0.86408169578031757</v>
      </c>
      <c r="BB85" s="281">
        <f>Kostengegevens!AB62</f>
        <v>2.9490459952084169</v>
      </c>
      <c r="BF85" s="4" t="s">
        <v>204</v>
      </c>
    </row>
    <row r="86" spans="2:58" ht="12.75" customHeight="1" x14ac:dyDescent="0.25">
      <c r="C86" s="145" t="s">
        <v>274</v>
      </c>
      <c r="D86" s="191"/>
      <c r="E86" s="161"/>
      <c r="F86" s="285" t="str">
        <f>Stappen!G86</f>
        <v>n.v.t.</v>
      </c>
      <c r="G86" s="284"/>
      <c r="H86" s="133" t="s">
        <v>211</v>
      </c>
      <c r="I86" s="19"/>
      <c r="J86" s="145" t="str">
        <f>IF(F86=U86,"1.CKb = compressiekoeling 36W/m2 BVO",IF(F86=V86,"niet gedefinieerd",IF(F86=W86,"3.CKbw = compressiekoeling 36W/m2 BVO met WKO",IF(F86=X86,"niet gedefinieerd",IF(F86=Y86,"n.v.t.",)))))</f>
        <v>n.v.t.</v>
      </c>
      <c r="K86" s="19"/>
      <c r="L86" s="19"/>
      <c r="M86" s="207"/>
      <c r="N86" s="19"/>
      <c r="O86" s="18"/>
      <c r="T86" s="268" t="str">
        <f>Stappen!T86</f>
        <v>n.v.t.</v>
      </c>
      <c r="U86" s="181" t="s">
        <v>535</v>
      </c>
      <c r="V86" s="181" t="s">
        <v>437</v>
      </c>
      <c r="W86" s="181" t="s">
        <v>536</v>
      </c>
      <c r="X86" s="181" t="s">
        <v>439</v>
      </c>
      <c r="Y86" s="181" t="s">
        <v>29</v>
      </c>
      <c r="AA86" s="2" t="s">
        <v>274</v>
      </c>
      <c r="AB86" s="4">
        <f t="shared" si="9"/>
        <v>5</v>
      </c>
      <c r="AC86" s="281">
        <f>Kostengegevens!C63</f>
        <v>0</v>
      </c>
      <c r="AH86" s="281">
        <f>Kostengegevens!H63</f>
        <v>0</v>
      </c>
      <c r="AM86" s="281">
        <f>Kostengegevens!M63</f>
        <v>0</v>
      </c>
      <c r="AR86" s="281">
        <f>Kostengegevens!R63</f>
        <v>0</v>
      </c>
      <c r="AW86" s="281">
        <f>Kostengegevens!W63</f>
        <v>0</v>
      </c>
      <c r="BB86" s="281">
        <f>Kostengegevens!AB63</f>
        <v>0</v>
      </c>
      <c r="BF86" s="4" t="s">
        <v>190</v>
      </c>
    </row>
    <row r="87" spans="2:58" ht="12.75" customHeight="1" x14ac:dyDescent="0.25">
      <c r="C87" s="145" t="s">
        <v>275</v>
      </c>
      <c r="D87" s="191"/>
      <c r="E87" s="161"/>
      <c r="F87" s="285" t="str">
        <f>Stappen!G87</f>
        <v>1.Nve</v>
      </c>
      <c r="G87" s="284"/>
      <c r="H87" s="133" t="s">
        <v>211</v>
      </c>
      <c r="I87" s="19"/>
      <c r="J87" s="145" t="str">
        <f>IF(F87=U87,"1.NVe = natuurlijke ventilatie (elektr.gestuurd)",IF(F87=V87,"2.MAs = mechanische afzuiging (sanitair)",IF(F87=W87,"3.MVw = mechanische ventilatie met WTW",IF(F87=X87,"4.LBg = luchtbehandeling gebouwen (standaard)",IF(F87=Y86,"5.LBw = luchtbehandeling gebouwen met WTW",)))))</f>
        <v>1.NVe = natuurlijke ventilatie (elektr.gestuurd)</v>
      </c>
      <c r="K87" s="19"/>
      <c r="L87" s="19"/>
      <c r="M87" s="207"/>
      <c r="N87" s="19"/>
      <c r="O87" s="18"/>
      <c r="T87" s="268" t="str">
        <f>Stappen!T87</f>
        <v>1.Nve</v>
      </c>
      <c r="U87" s="181" t="s">
        <v>223</v>
      </c>
      <c r="V87" s="181" t="s">
        <v>224</v>
      </c>
      <c r="W87" s="181" t="s">
        <v>225</v>
      </c>
      <c r="X87" s="181" t="s">
        <v>226</v>
      </c>
      <c r="Y87" s="181" t="s">
        <v>227</v>
      </c>
      <c r="AA87" s="2" t="s">
        <v>275</v>
      </c>
      <c r="AB87" s="4">
        <f t="shared" si="9"/>
        <v>1</v>
      </c>
      <c r="AC87" s="281">
        <f>Kostengegevens!C64</f>
        <v>9.6</v>
      </c>
      <c r="AH87" s="281">
        <f>Kostengegevens!H64</f>
        <v>2.3110854313637992</v>
      </c>
      <c r="AM87" s="281">
        <f>Kostengegevens!M64</f>
        <v>6.1736183489789171</v>
      </c>
      <c r="AR87" s="281">
        <f>Kostengegevens!R64</f>
        <v>95.44277856929196</v>
      </c>
      <c r="AW87" s="281">
        <f>Kostengegevens!W64</f>
        <v>0.58442221664400196</v>
      </c>
      <c r="BB87" s="281">
        <f>Kostengegevens!AB64</f>
        <v>3.3215180349696563</v>
      </c>
      <c r="BF87" s="4" t="s">
        <v>191</v>
      </c>
    </row>
    <row r="88" spans="2:58" ht="12.75" customHeight="1" x14ac:dyDescent="0.25">
      <c r="C88" s="145" t="s">
        <v>276</v>
      </c>
      <c r="D88" s="191"/>
      <c r="E88" s="161"/>
      <c r="F88" s="285" t="str">
        <f>Stappen!G88</f>
        <v>1.Ck</v>
      </c>
      <c r="G88" s="284"/>
      <c r="H88" s="133" t="s">
        <v>211</v>
      </c>
      <c r="I88" s="19"/>
      <c r="J88" s="145" t="str">
        <f>IF(F88=U88,"1.Ck = combi met HR-ketel (1.HRk)",IF(F88=V88,"2.Cg = gasboiler (met circulatieleiding)",IF(F88=W88,"3.Z1 = zonneboiler + combi met HR-ketel (1.HRk)",IF(F88=X88,"4.Z2 = zonneboiler + gasboiler (met circulatieleiding)",IF(F88=Y88,"5.Le = lokaal elektrisch verwarmd tapwater",)))))</f>
        <v>1.Ck = combi met HR-ketel (1.HRk)</v>
      </c>
      <c r="K88" s="19"/>
      <c r="L88" s="19"/>
      <c r="M88" s="207"/>
      <c r="N88" s="19"/>
      <c r="O88" s="18"/>
      <c r="T88" s="268" t="str">
        <f>Stappen!T88</f>
        <v>1.Ck</v>
      </c>
      <c r="U88" s="181" t="s">
        <v>228</v>
      </c>
      <c r="V88" s="181" t="s">
        <v>229</v>
      </c>
      <c r="W88" s="181" t="s">
        <v>230</v>
      </c>
      <c r="X88" s="181" t="s">
        <v>231</v>
      </c>
      <c r="Y88" s="181" t="s">
        <v>232</v>
      </c>
      <c r="AA88" s="2" t="s">
        <v>276</v>
      </c>
      <c r="AB88" s="4">
        <f t="shared" si="9"/>
        <v>1</v>
      </c>
      <c r="AC88" s="281">
        <f>Kostengegevens!C65</f>
        <v>0</v>
      </c>
      <c r="AH88" s="281">
        <f>Kostengegevens!H65</f>
        <v>0</v>
      </c>
      <c r="AM88" s="281">
        <f>Kostengegevens!M65</f>
        <v>0</v>
      </c>
      <c r="AR88" s="281">
        <f>Kostengegevens!R65</f>
        <v>0</v>
      </c>
      <c r="AW88" s="281">
        <f>Kostengegevens!W65</f>
        <v>0</v>
      </c>
      <c r="BB88" s="281">
        <f>Kostengegevens!AB65</f>
        <v>0</v>
      </c>
      <c r="BF88" s="4" t="s">
        <v>202</v>
      </c>
    </row>
    <row r="89" spans="2:58" ht="12.75" customHeight="1" x14ac:dyDescent="0.25">
      <c r="C89" s="145" t="s">
        <v>277</v>
      </c>
      <c r="D89" s="191"/>
      <c r="E89" s="161"/>
      <c r="F89" s="285" t="str">
        <f>Stappen!G89</f>
        <v>n.v.t.</v>
      </c>
      <c r="G89" s="284"/>
      <c r="H89" s="133" t="s">
        <v>211</v>
      </c>
      <c r="I89" s="19"/>
      <c r="J89" s="145" t="str">
        <f>IF(F89=U89,"1.Dw = douche-WTW",IF(F89=V89,"n.v.t.",IF(F89=W89,"niet gedefinieerd",IF(F89=X89,"niet gedefinieerd",IF(F89=Y89,"niet gedefinieerd",)))))</f>
        <v>n.v.t.</v>
      </c>
      <c r="K89" s="19"/>
      <c r="L89" s="19"/>
      <c r="M89" s="207"/>
      <c r="N89" s="19"/>
      <c r="O89" s="18"/>
      <c r="T89" s="268" t="str">
        <f>Stappen!T89</f>
        <v>n.v.t.</v>
      </c>
      <c r="U89" s="181" t="s">
        <v>233</v>
      </c>
      <c r="V89" s="181" t="s">
        <v>29</v>
      </c>
      <c r="W89" s="181" t="s">
        <v>29</v>
      </c>
      <c r="X89" s="181"/>
      <c r="Y89" s="181"/>
      <c r="AA89" s="2" t="s">
        <v>277</v>
      </c>
      <c r="AB89" s="4">
        <f t="shared" si="9"/>
        <v>2</v>
      </c>
      <c r="AC89" s="281">
        <f>Kostengegevens!C66</f>
        <v>0</v>
      </c>
      <c r="AH89" s="281">
        <f>Kostengegevens!H66</f>
        <v>0</v>
      </c>
      <c r="AM89" s="281">
        <f>Kostengegevens!M66</f>
        <v>0</v>
      </c>
      <c r="AR89" s="281">
        <f>Kostengegevens!R66</f>
        <v>0</v>
      </c>
      <c r="AW89" s="281">
        <f>Kostengegevens!W66</f>
        <v>0</v>
      </c>
      <c r="BB89" s="281">
        <f>Kostengegevens!AB66</f>
        <v>0</v>
      </c>
      <c r="BF89" s="4" t="s">
        <v>192</v>
      </c>
    </row>
    <row r="90" spans="2:58" ht="3.95" customHeight="1" x14ac:dyDescent="0.25">
      <c r="C90" s="147"/>
      <c r="D90" s="219"/>
      <c r="E90" s="110"/>
      <c r="F90" s="31"/>
      <c r="G90" s="25"/>
      <c r="H90" s="25"/>
      <c r="I90" s="25"/>
      <c r="J90" s="110"/>
      <c r="K90" s="25"/>
      <c r="L90" s="25"/>
      <c r="M90" s="25"/>
      <c r="N90" s="25"/>
      <c r="O90" s="23"/>
      <c r="U90"/>
      <c r="V90"/>
      <c r="W90"/>
      <c r="X90"/>
      <c r="Y90"/>
    </row>
    <row r="91" spans="2:58" ht="6" customHeight="1" x14ac:dyDescent="0.2">
      <c r="C91" s="204"/>
      <c r="D91" s="203"/>
      <c r="E91" s="150"/>
      <c r="F91" s="150"/>
      <c r="G91" s="115"/>
      <c r="I91" s="203"/>
    </row>
    <row r="92" spans="2:58" x14ac:dyDescent="0.2">
      <c r="C92" s="165" t="s">
        <v>396</v>
      </c>
      <c r="D92" s="213"/>
      <c r="E92" s="108"/>
      <c r="F92" s="246" t="s">
        <v>180</v>
      </c>
      <c r="G92" s="85"/>
      <c r="H92" s="185"/>
      <c r="I92" s="86"/>
      <c r="J92" s="395" t="s">
        <v>401</v>
      </c>
      <c r="K92" s="396" t="s">
        <v>37</v>
      </c>
      <c r="L92" s="397" t="s">
        <v>27</v>
      </c>
      <c r="M92" s="398" t="s">
        <v>28</v>
      </c>
      <c r="N92" s="396" t="s">
        <v>35</v>
      </c>
      <c r="O92" s="397" t="s">
        <v>36</v>
      </c>
    </row>
    <row r="93" spans="2:58" x14ac:dyDescent="0.2">
      <c r="C93" s="141" t="s">
        <v>397</v>
      </c>
      <c r="D93" s="90"/>
      <c r="E93" s="111"/>
      <c r="F93" s="247" t="s">
        <v>149</v>
      </c>
      <c r="G93" s="142"/>
      <c r="H93" s="195"/>
      <c r="I93" s="90"/>
      <c r="J93" s="399" t="str">
        <f>J23</f>
        <v>€ per 1-1-2012</v>
      </c>
      <c r="K93" s="400" t="str">
        <f>J93</f>
        <v>€ per 1-1-2012</v>
      </c>
      <c r="L93" s="401" t="s">
        <v>32</v>
      </c>
      <c r="M93" s="402" t="s">
        <v>33</v>
      </c>
      <c r="N93" s="400" t="s">
        <v>34</v>
      </c>
      <c r="O93" s="401" t="str">
        <f>J93</f>
        <v>€ per 1-1-2012</v>
      </c>
    </row>
    <row r="94" spans="2:58" x14ac:dyDescent="0.2">
      <c r="C94" s="241" t="s">
        <v>398</v>
      </c>
      <c r="D94" s="190"/>
      <c r="E94" s="160"/>
      <c r="F94" s="121">
        <v>0</v>
      </c>
      <c r="G94" s="121"/>
      <c r="H94" s="144" t="s">
        <v>50</v>
      </c>
      <c r="I94" s="122"/>
      <c r="J94" s="158">
        <v>0</v>
      </c>
      <c r="K94" s="124">
        <v>0</v>
      </c>
      <c r="L94" s="125">
        <v>0</v>
      </c>
      <c r="M94" s="126">
        <v>0</v>
      </c>
      <c r="N94" s="124">
        <v>0</v>
      </c>
      <c r="O94" s="125">
        <v>0</v>
      </c>
    </row>
    <row r="95" spans="2:58" x14ac:dyDescent="0.2">
      <c r="C95" s="145" t="s">
        <v>399</v>
      </c>
      <c r="D95" s="191"/>
      <c r="E95" s="161"/>
      <c r="F95" s="127">
        <v>0</v>
      </c>
      <c r="G95" s="127"/>
      <c r="H95" s="133" t="s">
        <v>400</v>
      </c>
      <c r="I95" s="128"/>
      <c r="J95" s="134">
        <v>0</v>
      </c>
      <c r="K95" s="129">
        <v>0</v>
      </c>
      <c r="L95" s="130">
        <v>0</v>
      </c>
      <c r="M95" s="131">
        <v>0</v>
      </c>
      <c r="N95" s="129">
        <v>0</v>
      </c>
      <c r="O95" s="130">
        <v>0</v>
      </c>
    </row>
    <row r="96" spans="2:58" ht="3.95" customHeight="1" x14ac:dyDescent="0.2">
      <c r="C96" s="145"/>
      <c r="D96" s="191"/>
      <c r="E96" s="161"/>
      <c r="F96" s="127"/>
      <c r="G96" s="127"/>
      <c r="H96" s="133"/>
      <c r="I96" s="128"/>
      <c r="J96" s="240"/>
      <c r="K96" s="129"/>
      <c r="L96" s="130"/>
      <c r="M96" s="131"/>
      <c r="N96" s="129"/>
      <c r="O96" s="130"/>
    </row>
    <row r="97" spans="1:53" x14ac:dyDescent="0.2">
      <c r="C97" s="410" t="s">
        <v>403</v>
      </c>
      <c r="D97" s="217"/>
      <c r="E97" s="163"/>
      <c r="F97" s="403"/>
      <c r="G97" s="403"/>
      <c r="H97" s="404"/>
      <c r="I97" s="405"/>
      <c r="J97" s="406">
        <f>SUM(J94:J95)</f>
        <v>0</v>
      </c>
      <c r="K97" s="407">
        <f t="shared" ref="K97:O97" si="10">SUM(K94:K95)</f>
        <v>0</v>
      </c>
      <c r="L97" s="408">
        <f t="shared" si="10"/>
        <v>0</v>
      </c>
      <c r="M97" s="409">
        <f t="shared" si="10"/>
        <v>0</v>
      </c>
      <c r="N97" s="407">
        <f t="shared" si="10"/>
        <v>0</v>
      </c>
      <c r="O97" s="408">
        <f t="shared" si="10"/>
        <v>0</v>
      </c>
    </row>
    <row r="98" spans="1:53" x14ac:dyDescent="0.2">
      <c r="A98" s="1"/>
      <c r="C98" s="147" t="str">
        <f>CONCATENATE("Idem referentie ",$F$10)</f>
        <v>Idem referentie (2) appartementen</v>
      </c>
      <c r="D98" s="218"/>
      <c r="E98" s="208"/>
      <c r="F98" s="210"/>
      <c r="G98" s="135"/>
      <c r="H98" s="148"/>
      <c r="I98" s="209"/>
      <c r="J98" s="153">
        <v>0</v>
      </c>
      <c r="K98" s="138">
        <v>0</v>
      </c>
      <c r="L98" s="139">
        <v>0</v>
      </c>
      <c r="M98" s="140">
        <v>0</v>
      </c>
      <c r="N98" s="138">
        <v>0</v>
      </c>
      <c r="O98" s="139">
        <v>0</v>
      </c>
    </row>
    <row r="99" spans="1:53" x14ac:dyDescent="0.2">
      <c r="D99" s="4"/>
      <c r="F99" s="3"/>
      <c r="G99" s="3"/>
      <c r="I99" s="203"/>
    </row>
    <row r="100" spans="1:53" x14ac:dyDescent="0.2">
      <c r="C100" s="4" t="s">
        <v>412</v>
      </c>
      <c r="D100" s="4"/>
      <c r="G100" s="3"/>
      <c r="I100" s="203"/>
    </row>
    <row r="101" spans="1:53" x14ac:dyDescent="0.2">
      <c r="C101" s="4" t="s">
        <v>413</v>
      </c>
      <c r="D101" s="4"/>
      <c r="G101" s="3"/>
      <c r="I101" s="203"/>
    </row>
    <row r="102" spans="1:53" x14ac:dyDescent="0.2">
      <c r="C102" s="4" t="s">
        <v>414</v>
      </c>
      <c r="D102" s="4"/>
      <c r="G102" s="3"/>
      <c r="I102" s="203"/>
    </row>
    <row r="103" spans="1:53" x14ac:dyDescent="0.2">
      <c r="C103" s="4" t="s">
        <v>409</v>
      </c>
      <c r="D103" s="4"/>
      <c r="G103" s="3"/>
      <c r="I103" s="203"/>
    </row>
    <row r="104" spans="1:53" x14ac:dyDescent="0.2">
      <c r="C104" s="4" t="s">
        <v>410</v>
      </c>
      <c r="D104" s="4"/>
      <c r="G104" s="3"/>
      <c r="I104" s="203"/>
    </row>
    <row r="105" spans="1:53" x14ac:dyDescent="0.2">
      <c r="C105" s="4" t="s">
        <v>407</v>
      </c>
      <c r="F105" s="3"/>
      <c r="G105" s="3"/>
      <c r="I105" s="203"/>
    </row>
    <row r="106" spans="1:53" x14ac:dyDescent="0.2">
      <c r="C106" s="4" t="s">
        <v>408</v>
      </c>
      <c r="F106" s="3"/>
      <c r="G106" s="3"/>
      <c r="I106" s="203"/>
    </row>
    <row r="107" spans="1:53" ht="15.75" x14ac:dyDescent="0.25">
      <c r="C107" s="112" t="s">
        <v>435</v>
      </c>
      <c r="D107" s="106"/>
      <c r="F107" s="3"/>
      <c r="G107" s="3"/>
      <c r="I107" s="203"/>
    </row>
    <row r="108" spans="1:53" ht="6" customHeight="1" x14ac:dyDescent="0.2">
      <c r="D108" s="4"/>
      <c r="F108" s="3"/>
      <c r="G108" s="3"/>
      <c r="I108" s="203"/>
    </row>
    <row r="109" spans="1:53" x14ac:dyDescent="0.2">
      <c r="C109" s="4" t="s">
        <v>415</v>
      </c>
      <c r="D109" s="4"/>
      <c r="G109" s="3"/>
      <c r="I109" s="203"/>
      <c r="AB109" s="379" t="s">
        <v>549</v>
      </c>
      <c r="AG109" s="379" t="s">
        <v>552</v>
      </c>
      <c r="AL109" s="379" t="s">
        <v>553</v>
      </c>
      <c r="AQ109" s="379" t="s">
        <v>554</v>
      </c>
      <c r="AV109" s="379" t="s">
        <v>555</v>
      </c>
      <c r="BA109" s="379" t="s">
        <v>555</v>
      </c>
    </row>
    <row r="110" spans="1:53" x14ac:dyDescent="0.2">
      <c r="C110" s="4" t="s">
        <v>289</v>
      </c>
      <c r="D110" s="4"/>
      <c r="G110" s="3"/>
      <c r="I110" s="203"/>
      <c r="AB110" s="35" t="s">
        <v>551</v>
      </c>
      <c r="AG110" s="35" t="s">
        <v>551</v>
      </c>
      <c r="AL110" s="35" t="s">
        <v>551</v>
      </c>
      <c r="AQ110" s="35" t="s">
        <v>551</v>
      </c>
      <c r="AV110" s="35" t="s">
        <v>551</v>
      </c>
      <c r="BA110" s="35" t="s">
        <v>551</v>
      </c>
    </row>
    <row r="111" spans="1:53" x14ac:dyDescent="0.2">
      <c r="C111" s="4" t="s">
        <v>404</v>
      </c>
      <c r="D111" s="4"/>
      <c r="G111" s="3"/>
      <c r="I111" s="203"/>
      <c r="AB111" s="35" t="s">
        <v>550</v>
      </c>
      <c r="AG111" s="35" t="s">
        <v>550</v>
      </c>
      <c r="AL111" s="35" t="s">
        <v>550</v>
      </c>
      <c r="AQ111" s="35" t="s">
        <v>550</v>
      </c>
      <c r="AV111" s="35" t="s">
        <v>550</v>
      </c>
      <c r="BA111" s="35" t="s">
        <v>550</v>
      </c>
    </row>
    <row r="112" spans="1:53" x14ac:dyDescent="0.2">
      <c r="D112" s="4"/>
      <c r="G112" s="3"/>
      <c r="I112" s="203"/>
      <c r="AB112" s="379"/>
      <c r="AG112" s="379"/>
      <c r="AL112" s="379"/>
      <c r="AQ112" s="35"/>
    </row>
    <row r="113" spans="1:74" x14ac:dyDescent="0.2">
      <c r="A113" s="113"/>
      <c r="B113" s="114"/>
      <c r="C113" s="165" t="s">
        <v>288</v>
      </c>
      <c r="D113" s="213"/>
      <c r="E113" s="108"/>
      <c r="F113" s="246" t="s">
        <v>180</v>
      </c>
      <c r="G113" s="117"/>
      <c r="H113" s="201"/>
      <c r="I113" s="118"/>
      <c r="J113" s="395" t="s">
        <v>49</v>
      </c>
      <c r="K113" s="396" t="s">
        <v>37</v>
      </c>
      <c r="L113" s="397" t="s">
        <v>27</v>
      </c>
      <c r="M113" s="398" t="s">
        <v>28</v>
      </c>
      <c r="N113" s="396" t="s">
        <v>35</v>
      </c>
      <c r="O113" s="397" t="s">
        <v>36</v>
      </c>
      <c r="T113" s="269" t="s">
        <v>442</v>
      </c>
      <c r="U113" s="261" t="s">
        <v>443</v>
      </c>
      <c r="V113" s="261"/>
      <c r="W113" s="261"/>
      <c r="X113" s="261"/>
      <c r="Y113" s="261"/>
      <c r="Z113" s="260" t="s">
        <v>149</v>
      </c>
      <c r="AA113" s="270" t="s">
        <v>446</v>
      </c>
      <c r="AB113" s="44" t="s">
        <v>146</v>
      </c>
      <c r="AC113" s="38"/>
      <c r="AD113" s="38"/>
      <c r="AE113" s="38"/>
      <c r="AF113" s="96"/>
      <c r="AG113" s="45" t="s">
        <v>147</v>
      </c>
      <c r="AH113" s="43"/>
      <c r="AI113" s="43"/>
      <c r="AJ113" s="43"/>
      <c r="AK113" s="97"/>
      <c r="AL113" s="319" t="s">
        <v>539</v>
      </c>
      <c r="AM113" s="320"/>
      <c r="AN113" s="320"/>
      <c r="AO113" s="320"/>
      <c r="AP113" s="262"/>
      <c r="AQ113" s="322" t="s">
        <v>28</v>
      </c>
      <c r="AR113" s="323"/>
      <c r="AS113" s="323"/>
      <c r="AT113" s="323"/>
      <c r="AU113" s="348"/>
      <c r="AV113" s="350" t="s">
        <v>540</v>
      </c>
      <c r="AW113" s="351"/>
      <c r="AX113" s="351"/>
      <c r="AY113" s="351"/>
      <c r="AZ113" s="352"/>
      <c r="BA113" s="327" t="s">
        <v>541</v>
      </c>
      <c r="BB113" s="328"/>
      <c r="BC113" s="328"/>
      <c r="BD113" s="328"/>
      <c r="BE113" s="356"/>
      <c r="BF113" s="71"/>
      <c r="BG113" s="71"/>
      <c r="BH113" s="98"/>
      <c r="BI113" s="71" t="s">
        <v>148</v>
      </c>
      <c r="BJ113" s="72" t="s">
        <v>149</v>
      </c>
      <c r="BL113" s="73" t="s">
        <v>156</v>
      </c>
      <c r="BM113" s="72"/>
      <c r="BN113" s="72"/>
      <c r="BO113" s="72"/>
      <c r="BP113" s="72"/>
      <c r="BR113" s="73" t="s">
        <v>157</v>
      </c>
      <c r="BS113" s="72"/>
      <c r="BT113" s="72"/>
      <c r="BU113" s="72"/>
      <c r="BV113" s="72"/>
    </row>
    <row r="114" spans="1:74" x14ac:dyDescent="0.2">
      <c r="A114" s="113"/>
      <c r="B114" s="114"/>
      <c r="C114" s="141" t="str">
        <f>Stappen!$F$11</f>
        <v>2012-07-01 Voorbeeld 1</v>
      </c>
      <c r="D114" s="90"/>
      <c r="E114" s="111"/>
      <c r="F114" s="257" t="s">
        <v>149</v>
      </c>
      <c r="G114" s="142"/>
      <c r="H114" s="202"/>
      <c r="I114" s="119"/>
      <c r="J114" s="399" t="str">
        <f>J23</f>
        <v>€ per 1-1-2012</v>
      </c>
      <c r="K114" s="400" t="str">
        <f>J114</f>
        <v>€ per 1-1-2012</v>
      </c>
      <c r="L114" s="401" t="s">
        <v>32</v>
      </c>
      <c r="M114" s="402" t="s">
        <v>33</v>
      </c>
      <c r="N114" s="400" t="s">
        <v>34</v>
      </c>
      <c r="O114" s="401" t="str">
        <f>J114</f>
        <v>€ per 1-1-2012</v>
      </c>
      <c r="T114" s="96" t="s">
        <v>441</v>
      </c>
      <c r="U114" s="262" t="s">
        <v>436</v>
      </c>
      <c r="V114" s="262" t="s">
        <v>437</v>
      </c>
      <c r="W114" s="262" t="s">
        <v>438</v>
      </c>
      <c r="X114" s="262" t="s">
        <v>439</v>
      </c>
      <c r="Y114" s="262" t="s">
        <v>440</v>
      </c>
      <c r="AB114" s="39" t="s">
        <v>457</v>
      </c>
      <c r="AC114" s="39"/>
      <c r="AD114" s="39"/>
      <c r="AE114" s="39"/>
      <c r="AF114" s="91"/>
      <c r="AG114" s="41" t="s">
        <v>457</v>
      </c>
      <c r="AH114" s="41"/>
      <c r="AI114" s="41"/>
      <c r="AJ114" s="41"/>
      <c r="AK114" s="92"/>
      <c r="AL114" s="355" t="s">
        <v>457</v>
      </c>
      <c r="AM114" s="355"/>
      <c r="AN114" s="355"/>
      <c r="AO114" s="355"/>
      <c r="AP114" s="263"/>
      <c r="AQ114" s="349" t="s">
        <v>457</v>
      </c>
      <c r="AR114" s="349"/>
      <c r="AS114" s="349"/>
      <c r="AT114" s="349"/>
      <c r="AU114" s="341"/>
      <c r="AV114" s="353" t="s">
        <v>457</v>
      </c>
      <c r="AW114" s="353"/>
      <c r="AX114" s="353"/>
      <c r="AY114" s="353"/>
      <c r="AZ114" s="342"/>
      <c r="BA114" s="357" t="s">
        <v>457</v>
      </c>
      <c r="BB114" s="357"/>
      <c r="BC114" s="357"/>
      <c r="BD114" s="357"/>
      <c r="BE114" s="343"/>
      <c r="BF114" s="74"/>
      <c r="BG114" s="74"/>
      <c r="BH114" s="74"/>
      <c r="BI114" s="93"/>
      <c r="BJ114" s="77"/>
      <c r="BL114" s="77"/>
      <c r="BM114" s="77"/>
      <c r="BN114" s="77"/>
      <c r="BO114" s="77"/>
      <c r="BP114" s="77"/>
      <c r="BR114" s="77"/>
      <c r="BS114" s="77"/>
      <c r="BT114" s="77"/>
      <c r="BU114" s="77"/>
      <c r="BV114" s="77"/>
    </row>
    <row r="115" spans="1:74" x14ac:dyDescent="0.2">
      <c r="A115" s="113"/>
      <c r="B115" s="114"/>
      <c r="C115" s="143" t="s">
        <v>234</v>
      </c>
      <c r="D115" s="214"/>
      <c r="E115" s="160"/>
      <c r="F115" s="239"/>
      <c r="G115" s="239"/>
      <c r="H115" s="239"/>
      <c r="I115" s="238"/>
      <c r="J115" s="123"/>
      <c r="K115" s="124"/>
      <c r="L115" s="125"/>
      <c r="M115" s="126"/>
      <c r="N115" s="124"/>
      <c r="O115" s="125"/>
      <c r="T115" s="91"/>
      <c r="AB115" s="39"/>
      <c r="AC115" s="39"/>
      <c r="AD115" s="39"/>
      <c r="AE115" s="39"/>
      <c r="AF115" s="91"/>
      <c r="AG115" s="41"/>
      <c r="AH115" s="41"/>
      <c r="AI115" s="41"/>
      <c r="AJ115" s="41"/>
      <c r="AK115" s="92"/>
      <c r="AL115" s="355"/>
      <c r="AM115" s="355"/>
      <c r="AN115" s="355"/>
      <c r="AO115" s="355"/>
      <c r="AP115" s="263"/>
      <c r="AQ115" s="349"/>
      <c r="AR115" s="349"/>
      <c r="AS115" s="349"/>
      <c r="AT115" s="349"/>
      <c r="AU115" s="341"/>
      <c r="AV115" s="353"/>
      <c r="AW115" s="353"/>
      <c r="AX115" s="353"/>
      <c r="AY115" s="353"/>
      <c r="AZ115" s="342"/>
      <c r="BA115" s="357"/>
      <c r="BB115" s="357"/>
      <c r="BC115" s="357"/>
      <c r="BD115" s="357"/>
      <c r="BE115" s="343"/>
      <c r="BF115" s="74"/>
      <c r="BG115" s="74"/>
      <c r="BH115" s="74"/>
      <c r="BI115" s="76"/>
      <c r="BJ115" s="77"/>
      <c r="BL115" s="77"/>
      <c r="BM115" s="77"/>
      <c r="BN115" s="77"/>
      <c r="BO115" s="77"/>
      <c r="BP115" s="77"/>
      <c r="BR115" s="77"/>
      <c r="BS115" s="77"/>
      <c r="BT115" s="77"/>
      <c r="BU115" s="77"/>
      <c r="BV115" s="77"/>
    </row>
    <row r="116" spans="1:74" x14ac:dyDescent="0.2">
      <c r="A116" s="120" t="s">
        <v>163</v>
      </c>
      <c r="B116" s="114"/>
      <c r="C116" s="235" t="s">
        <v>51</v>
      </c>
      <c r="D116" s="191"/>
      <c r="E116" s="161"/>
      <c r="F116" s="133"/>
      <c r="G116" s="133"/>
      <c r="H116" s="133"/>
      <c r="I116" s="128"/>
      <c r="J116" s="134"/>
      <c r="K116" s="129"/>
      <c r="L116" s="130"/>
      <c r="M116" s="131"/>
      <c r="N116" s="129"/>
      <c r="O116" s="130"/>
      <c r="P116" s="84"/>
      <c r="T116" s="91">
        <v>0</v>
      </c>
      <c r="U116" s="99">
        <v>1</v>
      </c>
      <c r="V116" s="2">
        <v>2</v>
      </c>
      <c r="W116" s="2">
        <v>3</v>
      </c>
      <c r="X116" s="2">
        <v>4</v>
      </c>
      <c r="Y116" s="2">
        <v>5</v>
      </c>
      <c r="Z116" s="2">
        <f>BJ116</f>
        <v>2</v>
      </c>
      <c r="AA116" s="35">
        <v>1</v>
      </c>
      <c r="AB116" s="40">
        <v>1</v>
      </c>
      <c r="AC116" s="40">
        <v>2</v>
      </c>
      <c r="AD116" s="40">
        <v>3</v>
      </c>
      <c r="AE116" s="40">
        <v>4</v>
      </c>
      <c r="AF116" s="40">
        <v>5</v>
      </c>
      <c r="AG116" s="42">
        <v>1</v>
      </c>
      <c r="AH116" s="42">
        <v>2</v>
      </c>
      <c r="AI116" s="42">
        <v>3</v>
      </c>
      <c r="AJ116" s="42">
        <v>4</v>
      </c>
      <c r="AK116" s="42">
        <v>5</v>
      </c>
      <c r="AL116" s="333">
        <v>1</v>
      </c>
      <c r="AM116" s="333">
        <v>2</v>
      </c>
      <c r="AN116" s="333">
        <v>3</v>
      </c>
      <c r="AO116" s="333">
        <v>4</v>
      </c>
      <c r="AP116" s="333">
        <v>5</v>
      </c>
      <c r="AQ116" s="334">
        <v>1</v>
      </c>
      <c r="AR116" s="334">
        <v>2</v>
      </c>
      <c r="AS116" s="334">
        <v>3</v>
      </c>
      <c r="AT116" s="334">
        <v>4</v>
      </c>
      <c r="AU116" s="334">
        <v>5</v>
      </c>
      <c r="AV116" s="354">
        <v>1</v>
      </c>
      <c r="AW116" s="354">
        <v>2</v>
      </c>
      <c r="AX116" s="354">
        <v>3</v>
      </c>
      <c r="AY116" s="354">
        <v>4</v>
      </c>
      <c r="AZ116" s="354">
        <v>5</v>
      </c>
      <c r="BA116" s="336">
        <v>1</v>
      </c>
      <c r="BB116" s="336">
        <v>2</v>
      </c>
      <c r="BC116" s="336">
        <v>3</v>
      </c>
      <c r="BD116" s="336">
        <v>4</v>
      </c>
      <c r="BE116" s="336">
        <v>5</v>
      </c>
      <c r="BF116" s="74"/>
      <c r="BG116" s="74"/>
      <c r="BH116" s="100">
        <v>1</v>
      </c>
      <c r="BI116" s="101"/>
      <c r="BJ116" s="55">
        <f>Stappen!BJ9</f>
        <v>2</v>
      </c>
      <c r="BL116" s="74">
        <f>Stappen!BL9</f>
        <v>1</v>
      </c>
      <c r="BM116" s="74">
        <f>Stappen!BM9</f>
        <v>2</v>
      </c>
      <c r="BN116" s="74">
        <f>Stappen!BN9</f>
        <v>3</v>
      </c>
      <c r="BO116" s="74">
        <f>Stappen!BO9</f>
        <v>4</v>
      </c>
      <c r="BP116" s="74">
        <f>Stappen!BP9</f>
        <v>5</v>
      </c>
      <c r="BR116" s="74">
        <v>1</v>
      </c>
      <c r="BS116" s="74">
        <v>2</v>
      </c>
      <c r="BT116" s="74">
        <v>3</v>
      </c>
      <c r="BU116" s="74">
        <v>4</v>
      </c>
      <c r="BV116" s="74">
        <v>5</v>
      </c>
    </row>
    <row r="117" spans="1:74" x14ac:dyDescent="0.2">
      <c r="A117" s="113"/>
      <c r="B117" s="114">
        <v>11</v>
      </c>
      <c r="C117" s="236" t="s">
        <v>291</v>
      </c>
      <c r="D117" s="191"/>
      <c r="E117" s="161"/>
      <c r="F117" s="127">
        <f>BI117</f>
        <v>60.280373831775698</v>
      </c>
      <c r="G117" s="127"/>
      <c r="H117" s="133" t="s">
        <v>22</v>
      </c>
      <c r="I117" s="128"/>
      <c r="J117" s="134">
        <f>HLOOKUP($Z117,$AB$116:$AF$183,$AA117,FALSE)*$F117</f>
        <v>1067.5288002157124</v>
      </c>
      <c r="K117" s="129">
        <f>HLOOKUP($Z117,$AG$116:$AK$183,$AA117,FALSE)*$F117</f>
        <v>219.80032710326267</v>
      </c>
      <c r="L117" s="130">
        <f>HLOOKUP($Z117,$AL$116:$AP$183,$AA117,FALSE)*$F117</f>
        <v>829.51249766372143</v>
      </c>
      <c r="M117" s="131">
        <f>HLOOKUP($Z117,$AQ$116:$AU$183,$AA117,FALSE)*$F117</f>
        <v>5695.5263200553272</v>
      </c>
      <c r="N117" s="129">
        <f>HLOOKUP($Z117,$AV$116:$AZ$183,$AA117,FALSE)*$F117</f>
        <v>479.98127102815556</v>
      </c>
      <c r="O117" s="130">
        <f>HLOOKUP($Z117,$BA$116:$BE$183,$AA117,FALSE)*$F117</f>
        <v>65.622721962416819</v>
      </c>
      <c r="T117" s="91" t="str">
        <f>HLOOKUP(Z117,$U$116:$Y$183,AA117,FALSE)</f>
        <v>1 gesloten grondbalans (+17%nw.zand)</v>
      </c>
      <c r="U117" s="263" t="s">
        <v>333</v>
      </c>
      <c r="V117" s="263" t="s">
        <v>345</v>
      </c>
      <c r="W117" s="263" t="s">
        <v>346</v>
      </c>
      <c r="X117" s="263" t="s">
        <v>347</v>
      </c>
      <c r="Y117" s="263" t="s">
        <v>62</v>
      </c>
      <c r="Z117" s="2">
        <f>HLOOKUP(Z$116,$BR$116:$BV$183,BH117,FALSE)</f>
        <v>1</v>
      </c>
      <c r="AA117" s="35">
        <f>AA116+1</f>
        <v>2</v>
      </c>
      <c r="AB117" s="35">
        <f>HLOOKUP(AB$116,Kostengegevens!$AK$74:$BN$135,Stappen!$AA117,FALSE)</f>
        <v>17.709392499702517</v>
      </c>
      <c r="AC117" s="35">
        <f>HLOOKUP(AC$116,Kostengegevens!$AK$74:$BN$135,Stappen!$AA117,FALSE)</f>
        <v>56.004722499564522</v>
      </c>
      <c r="AD117" s="35">
        <f>HLOOKUP(AD$116,Kostengegevens!$AK$74:$BN$135,Stappen!$AA117,FALSE)</f>
        <v>126.49869250106858</v>
      </c>
      <c r="AE117" s="35">
        <f>HLOOKUP(AE$116,Kostengegevens!$AK$74:$BN$135,Stappen!$AA117,FALSE)</f>
        <v>184.29669250041479</v>
      </c>
      <c r="AF117" s="3"/>
      <c r="AG117" s="35">
        <f>HLOOKUP(AG$116+10,Kostengegevens!$AK$74:$BN$135,Stappen!$AA117,FALSE)</f>
        <v>3.6463000000076136</v>
      </c>
      <c r="AH117" s="35">
        <f>HLOOKUP(AH$116+10,Kostengegevens!$AK$74:$BN$135,Stappen!$AA117,FALSE)</f>
        <v>11.957237500013289</v>
      </c>
      <c r="AI117" s="35">
        <f>HLOOKUP(AI$116+10,Kostengegevens!$AK$74:$BN$135,Stappen!$AA117,FALSE)</f>
        <v>27.49229999993986</v>
      </c>
      <c r="AJ117" s="35">
        <f>HLOOKUP(AJ$116+10,Kostengegevens!$AK$74:$BN$135,Stappen!$AA117,FALSE)</f>
        <v>27.492300000091198</v>
      </c>
      <c r="AK117" s="3"/>
      <c r="AL117" s="35">
        <f>HLOOKUP(AL$116+20,Kostengegevens!$AK$74:$BN$135,Stappen!$AA117,FALSE)</f>
        <v>13.760905000002822</v>
      </c>
      <c r="AM117" s="35">
        <f>HLOOKUP(AM$116+20,Kostengegevens!$AK$74:$BN$135,Stappen!$AA117,FALSE)</f>
        <v>36.06713500002806</v>
      </c>
      <c r="AN117" s="35">
        <f>HLOOKUP(AN$116+20,Kostengegevens!$AK$74:$BN$135,Stappen!$AA117,FALSE)</f>
        <v>79.90320499993976</v>
      </c>
      <c r="AO117" s="35">
        <f>HLOOKUP(AO$116+20,Kostengegevens!$AK$74:$BN$135,Stappen!$AA117,FALSE)</f>
        <v>79.90320499993976</v>
      </c>
      <c r="AP117" s="3"/>
      <c r="AQ117" s="35">
        <f>HLOOKUP(AQ$116+30,Kostengegevens!$AK$74:$BN$135,Stappen!$AA117,FALSE)</f>
        <v>94.483924999367446</v>
      </c>
      <c r="AR117" s="35">
        <f>HLOOKUP(AR$116+30,Kostengegevens!$AK$74:$BN$135,Stappen!$AA117,FALSE)</f>
        <v>338.00528749745803</v>
      </c>
      <c r="AS117" s="35">
        <f>HLOOKUP(AS$116+30,Kostengegevens!$AK$74:$BN$135,Stappen!$AA117,FALSE)</f>
        <v>916.31392500689253</v>
      </c>
      <c r="AT117" s="35">
        <f>HLOOKUP(AT$116+30,Kostengegevens!$AK$74:$BN$135,Stappen!$AA117,FALSE)</f>
        <v>916.31392499236381</v>
      </c>
      <c r="AU117" s="3"/>
      <c r="AV117" s="35">
        <f>HLOOKUP(AV$116+40,Kostengegevens!$AK$74:$BN$135,Stappen!$AA117,FALSE)</f>
        <v>7.9624800000019604</v>
      </c>
      <c r="AW117" s="35">
        <f>HLOOKUP(AW$116+40,Kostengegevens!$AK$74:$BN$135,Stappen!$AA117,FALSE)</f>
        <v>15.029909999962619</v>
      </c>
      <c r="AX117" s="35">
        <f>HLOOKUP(AX$116+40,Kostengegevens!$AK$74:$BN$135,Stappen!$AA117,FALSE)</f>
        <v>23.780280000105268</v>
      </c>
      <c r="AY117" s="35">
        <f>HLOOKUP(AY$116+40,Kostengegevens!$AK$74:$BN$135,Stappen!$AA117,FALSE)</f>
        <v>23.780279999878257</v>
      </c>
      <c r="AZ117" s="3"/>
      <c r="BA117" s="35">
        <f>HLOOKUP(BA$116+50,Kostengegevens!$AK$74:$BN$135,Stappen!$AA117,FALSE)</f>
        <v>1.0886249999966822</v>
      </c>
      <c r="BB117" s="35">
        <f>HLOOKUP(BB$116+50,Kostengegevens!$AK$74:$BN$135,Stappen!$AA117,FALSE)</f>
        <v>5.4504375000068102</v>
      </c>
      <c r="BC117" s="35">
        <f>HLOOKUP(BC$116+50,Kostengegevens!$AK$74:$BN$135,Stappen!$AA117,FALSE)</f>
        <v>6.3006249999525599</v>
      </c>
      <c r="BD117" s="35">
        <f>HLOOKUP(BD$116+50,Kostengegevens!$AK$74:$BN$135,Stappen!$AA117,FALSE)</f>
        <v>7.2366249999919088</v>
      </c>
      <c r="BE117" s="3"/>
      <c r="BG117" s="2">
        <v>2</v>
      </c>
      <c r="BH117" s="59">
        <v>2</v>
      </c>
      <c r="BI117" s="56">
        <f>BJ117</f>
        <v>60.280373831775698</v>
      </c>
      <c r="BJ117" s="56">
        <f>HLOOKUP(Stappen!BJ$116,Stappen!$BL$116:$BP$178,BH117,FALSE)*VLOOKUP($BG117,Stappen!$BH$24:$BJ$46,3,FALSE)</f>
        <v>60.280373831775698</v>
      </c>
      <c r="BK117" s="62" t="s">
        <v>22</v>
      </c>
      <c r="BL117" s="61">
        <f>Stappen!BL117</f>
        <v>1</v>
      </c>
      <c r="BM117" s="61">
        <f>Stappen!BM117</f>
        <v>1</v>
      </c>
      <c r="BN117" s="61">
        <f>Stappen!BN117</f>
        <v>1</v>
      </c>
      <c r="BO117" s="61">
        <f>Stappen!BO117</f>
        <v>1</v>
      </c>
      <c r="BP117" s="61">
        <f>Stappen!BP117</f>
        <v>1</v>
      </c>
      <c r="BR117" s="56">
        <f>Stappen!BR117</f>
        <v>1</v>
      </c>
      <c r="BS117" s="56">
        <f>Stappen!BS117</f>
        <v>1</v>
      </c>
      <c r="BT117" s="56">
        <f>Stappen!BT117</f>
        <v>1</v>
      </c>
      <c r="BU117" s="56">
        <f>Stappen!BU117</f>
        <v>1</v>
      </c>
      <c r="BV117" s="56">
        <f>Stappen!BV117</f>
        <v>0</v>
      </c>
    </row>
    <row r="118" spans="1:74" x14ac:dyDescent="0.2">
      <c r="A118" s="113"/>
      <c r="B118" s="114">
        <v>13</v>
      </c>
      <c r="C118" s="236" t="s">
        <v>292</v>
      </c>
      <c r="D118" s="191"/>
      <c r="E118" s="161"/>
      <c r="F118" s="127">
        <f>BI118</f>
        <v>1.4018691588785046</v>
      </c>
      <c r="G118" s="127"/>
      <c r="H118" s="133" t="s">
        <v>22</v>
      </c>
      <c r="I118" s="128"/>
      <c r="J118" s="134">
        <f>HLOOKUP($Z118,$AB$116:$AF$183,$AA118,FALSE)*$F118</f>
        <v>657.59332177607848</v>
      </c>
      <c r="K118" s="129">
        <f t="shared" ref="K118:K174" si="11">HLOOKUP($Z118,$AG$116:$AK$183,$AA118,FALSE)*$F118</f>
        <v>261.50652757006975</v>
      </c>
      <c r="L118" s="130">
        <f t="shared" ref="L118:L174" si="12">HLOOKUP($Z118,$AL$116:$AP$183,$AA118,FALSE)*$F118</f>
        <v>1049.8434563546559</v>
      </c>
      <c r="M118" s="131">
        <f t="shared" ref="M118:M174" si="13">HLOOKUP($Z118,$AQ$116:$AU$183,$AA118,FALSE)*$F118</f>
        <v>6927.9991584168483</v>
      </c>
      <c r="N118" s="129">
        <f t="shared" ref="N118:N174" si="14">HLOOKUP($Z118,$AV$116:$AZ$183,$AA118,FALSE)*$F118</f>
        <v>402.17856056067524</v>
      </c>
      <c r="O118" s="130">
        <f t="shared" ref="O118:O174" si="15">HLOOKUP($Z118,$BA$116:$BE$183,$AA118,FALSE)*$F118</f>
        <v>342.48942476641503</v>
      </c>
      <c r="T118" s="91" t="str">
        <f>HLOOKUP(Z118,$U$116:$Y$183,AA118,FALSE)</f>
        <v>1 alleen liftput(ten)</v>
      </c>
      <c r="U118" s="263" t="s">
        <v>63</v>
      </c>
      <c r="V118" s="99" t="s">
        <v>64</v>
      </c>
      <c r="W118" s="99" t="s">
        <v>65</v>
      </c>
      <c r="X118" s="263" t="s">
        <v>416</v>
      </c>
      <c r="Y118" s="263" t="s">
        <v>62</v>
      </c>
      <c r="Z118" s="2">
        <f>HLOOKUP(Z$116,$BR$116:$BV$183,BH118,FALSE)</f>
        <v>1</v>
      </c>
      <c r="AA118" s="35">
        <f t="shared" ref="AA118:AA177" si="16">AA117+1</f>
        <v>3</v>
      </c>
      <c r="AB118" s="35">
        <f>HLOOKUP(AB$116,Kostengegevens!$AK$74:$BN$135,Stappen!$AA118,FALSE)</f>
        <v>469.08323620026931</v>
      </c>
      <c r="AC118" s="42">
        <f>HLOOKUP(AC$116,Kostengegevens!$AK$74:$AT$135,Stappen!$AA118,FALSE)+AC65</f>
        <v>46.163429999956861</v>
      </c>
      <c r="AD118" s="42">
        <f>HLOOKUP(AD$116,Kostengegevens!$AK$74:$AT$135,Stappen!$AA118,FALSE)+AD65</f>
        <v>72.051329999929294</v>
      </c>
      <c r="AE118" s="35">
        <f>HLOOKUP(AE$116,Kostengegevens!$AK$74:$BN$135,Stappen!$AA118,FALSE)</f>
        <v>89.094822362023422</v>
      </c>
      <c r="AF118" s="3"/>
      <c r="AG118" s="35">
        <f>HLOOKUP(AG$116+10,Kostengegevens!$AK$74:$BN$135,Stappen!$AA118,FALSE)</f>
        <v>186.54132299998309</v>
      </c>
      <c r="AH118" s="42">
        <f>HLOOKUP(AH$116+10,Kostengegevens!$AK$74:$BN$135,Stappen!$AA118,FALSE)+AH65</f>
        <v>23.257649999985009</v>
      </c>
      <c r="AI118" s="42">
        <f>HLOOKUP(AI$116+10,Kostengegevens!$AK$74:$BN$135,Stappen!$AA118,FALSE)+AI65</f>
        <v>37.112000000081025</v>
      </c>
      <c r="AJ118" s="35">
        <f>HLOOKUP(AJ$116+10,Kostengegevens!$AK$74:$BN$135,Stappen!$AA118,FALSE)</f>
        <v>42.663223229901639</v>
      </c>
      <c r="AK118" s="3"/>
      <c r="AL118" s="35">
        <f>HLOOKUP(AL$116+20,Kostengegevens!$AK$74:$BN$135,Stappen!$AA118,FALSE)</f>
        <v>748.88833219965454</v>
      </c>
      <c r="AM118" s="42">
        <f>HLOOKUP(AM$116+20,Kostengegevens!$AK$74:$BN$135,Stappen!$AA118,FALSE)+AM65</f>
        <v>83.260430000023916</v>
      </c>
      <c r="AN118" s="42">
        <f>HLOOKUP(AN$116+20,Kostengegevens!$AK$74:$BN$135,Stappen!$AA118,FALSE)+AN65</f>
        <v>138.45562999998219</v>
      </c>
      <c r="AO118" s="35">
        <f>HLOOKUP(AO$116+20,Kostengegevens!$AK$74:$BN$135,Stappen!$AA118,FALSE)</f>
        <v>163.53765332210693</v>
      </c>
      <c r="AP118" s="3"/>
      <c r="AQ118" s="35">
        <f>HLOOKUP(AQ$116+30,Kostengegevens!$AK$74:$BN$135,Stappen!$AA118,FALSE)</f>
        <v>4941.9727330040187</v>
      </c>
      <c r="AR118" s="42">
        <f>HLOOKUP(AR$116+30,Kostengegevens!$AK$74:$BN$135,Stappen!$AA118,FALSE)+AR65</f>
        <v>970.6404000017792</v>
      </c>
      <c r="AS118" s="42">
        <f>HLOOKUP(AS$116+30,Kostengegevens!$AK$74:$BN$135,Stappen!$AA118,FALSE)+AS65</f>
        <v>1448.3898499999195</v>
      </c>
      <c r="AT118" s="35">
        <f>HLOOKUP(AT$116+30,Kostengegevens!$AK$74:$BN$135,Stappen!$AA118,FALSE)</f>
        <v>1417.1676473309658</v>
      </c>
      <c r="AU118" s="3"/>
      <c r="AV118" s="35">
        <f>HLOOKUP(AV$116+40,Kostengegevens!$AK$74:$BN$135,Stappen!$AA118,FALSE)</f>
        <v>286.88737319994834</v>
      </c>
      <c r="AW118" s="42">
        <f>HLOOKUP(AW$116+40,Kostengegevens!$AK$74:$BN$135,Stappen!$AA118,FALSE)+AW65</f>
        <v>23.031679999985499</v>
      </c>
      <c r="AX118" s="42">
        <f>HLOOKUP(AX$116+40,Kostengegevens!$AK$74:$BN$135,Stappen!$AA118,FALSE)+AX65</f>
        <v>33.250079999997979</v>
      </c>
      <c r="AY118" s="35">
        <f>HLOOKUP(AY$116+40,Kostengegevens!$AK$74:$BN$135,Stappen!$AA118,FALSE)</f>
        <v>32.345563732009907</v>
      </c>
      <c r="AZ118" s="3"/>
      <c r="BA118" s="35">
        <f>HLOOKUP(BA$116+50,Kostengegevens!$AK$74:$BN$135,Stappen!$AA118,FALSE)</f>
        <v>244.30912300004275</v>
      </c>
      <c r="BB118" s="42">
        <f>HLOOKUP(BB$116+50,Kostengegevens!$AK$74:$BN$135,Stappen!$AA118,FALSE)+BB65</f>
        <v>18.609249999979511</v>
      </c>
      <c r="BC118" s="42">
        <f>HLOOKUP(BC$116+50,Kostengegevens!$AK$74:$BN$135,Stappen!$AA118,FALSE)+BC65</f>
        <v>31.146349999995437</v>
      </c>
      <c r="BD118" s="35">
        <f>HLOOKUP(BD$116+50,Kostengegevens!$AK$74:$BN$135,Stappen!$AA118,FALSE)</f>
        <v>37.961701229999598</v>
      </c>
      <c r="BE118" s="3"/>
      <c r="BG118" s="2">
        <v>2</v>
      </c>
      <c r="BH118" s="57">
        <v>3</v>
      </c>
      <c r="BI118" s="56">
        <f>BJ118</f>
        <v>1.4018691588785046</v>
      </c>
      <c r="BJ118" s="56">
        <f>HLOOKUP(Stappen!BJ$116,Stappen!$BL$116:$BP$178,BH118,FALSE)*VLOOKUP($BG118,Stappen!$BH$24:$BJ$46,3,FALSE)</f>
        <v>1.4018691588785046</v>
      </c>
      <c r="BK118" s="62" t="s">
        <v>22</v>
      </c>
      <c r="BL118" s="61">
        <f>Stappen!BL118</f>
        <v>0</v>
      </c>
      <c r="BM118" s="61">
        <f>Stappen!BM118</f>
        <v>2.3255813953488372E-2</v>
      </c>
      <c r="BN118" s="61">
        <f>Stappen!BN118</f>
        <v>5.4545454545454543E-2</v>
      </c>
      <c r="BO118" s="61">
        <f>Stappen!BO118</f>
        <v>1.5517241379310345E-2</v>
      </c>
      <c r="BP118" s="61">
        <f>Stappen!BP118</f>
        <v>0</v>
      </c>
      <c r="BR118" s="56">
        <f>Stappen!BR118</f>
        <v>5</v>
      </c>
      <c r="BS118" s="56">
        <f>Stappen!BS118</f>
        <v>1</v>
      </c>
      <c r="BT118" s="56">
        <f>Stappen!BT118</f>
        <v>1</v>
      </c>
      <c r="BU118" s="56">
        <f>Stappen!BU118</f>
        <v>1</v>
      </c>
      <c r="BV118" s="56">
        <f>Stappen!BV118</f>
        <v>0</v>
      </c>
    </row>
    <row r="119" spans="1:74" x14ac:dyDescent="0.2">
      <c r="A119" s="113"/>
      <c r="B119" s="114">
        <v>16</v>
      </c>
      <c r="C119" s="236" t="s">
        <v>293</v>
      </c>
      <c r="D119" s="191"/>
      <c r="E119" s="161"/>
      <c r="F119" s="127">
        <f>BI119</f>
        <v>60.280373831775698</v>
      </c>
      <c r="G119" s="127"/>
      <c r="H119" s="133" t="s">
        <v>22</v>
      </c>
      <c r="I119" s="128"/>
      <c r="J119" s="134">
        <f>HLOOKUP($Z119,$AB$116:$AF$183,$AA119,FALSE)*$F119</f>
        <v>5732.2358551748021</v>
      </c>
      <c r="K119" s="129">
        <f t="shared" si="11"/>
        <v>2170.4762347153237</v>
      </c>
      <c r="L119" s="130">
        <f t="shared" si="12"/>
        <v>8413.7254361515388</v>
      </c>
      <c r="M119" s="131">
        <f t="shared" si="13"/>
        <v>69028.65724672738</v>
      </c>
      <c r="N119" s="129">
        <f t="shared" si="14"/>
        <v>2933.5735154304293</v>
      </c>
      <c r="O119" s="130">
        <f t="shared" si="15"/>
        <v>1364.3964620795775</v>
      </c>
      <c r="T119" s="91" t="str">
        <f>HLOOKUP(Z119,$U$116:$Y$183,AA119,FALSE)</f>
        <v>3 betonbalken voor paalf.(&gt;3 bouwlagen)</v>
      </c>
      <c r="U119" s="263" t="s">
        <v>66</v>
      </c>
      <c r="V119" s="263" t="s">
        <v>74</v>
      </c>
      <c r="W119" s="263" t="s">
        <v>348</v>
      </c>
      <c r="X119" s="263" t="s">
        <v>84</v>
      </c>
      <c r="Y119" s="263" t="s">
        <v>62</v>
      </c>
      <c r="Z119" s="2">
        <f>HLOOKUP(Z$116,$BR$116:$BV$183,BH119,FALSE)</f>
        <v>3</v>
      </c>
      <c r="AA119" s="35">
        <f t="shared" si="16"/>
        <v>4</v>
      </c>
      <c r="AB119" s="35">
        <f>HLOOKUP(AB$116,Kostengegevens!$AK$74:$BN$135,Stappen!$AA119,FALSE)</f>
        <v>54.697388283290366</v>
      </c>
      <c r="AC119" s="35">
        <f>HLOOKUP(AC$116,Kostengegevens!$AK$74:$BN$135,Stappen!$AA119,FALSE)</f>
        <v>69.808146568136905</v>
      </c>
      <c r="AD119" s="35">
        <f>HLOOKUP(AD$116,Kostengegevens!$AK$74:$BN$135,Stappen!$AA119,FALSE)</f>
        <v>95.092904884295166</v>
      </c>
      <c r="AE119" s="35">
        <f>HLOOKUP(AE$116,Kostengegevens!$AK$74:$BN$135,Stappen!$AA119,FALSE)</f>
        <v>0</v>
      </c>
      <c r="AF119" s="3"/>
      <c r="AG119" s="35">
        <f>HLOOKUP(AG$116+10,Kostengegevens!$AK$74:$BN$135,Stappen!$AA119,FALSE)</f>
        <v>16.803137284535012</v>
      </c>
      <c r="AH119" s="35">
        <f>HLOOKUP(AH$116+10,Kostengegevens!$AK$74:$BN$135,Stappen!$AA119,FALSE)</f>
        <v>22.16167848294161</v>
      </c>
      <c r="AI119" s="35">
        <f>HLOOKUP(AI$116+10,Kostengegevens!$AK$74:$BN$135,Stappen!$AA119,FALSE)</f>
        <v>36.006349940238707</v>
      </c>
      <c r="AJ119" s="35">
        <f>HLOOKUP(AJ$116+10,Kostengegevens!$AK$74:$BN$135,Stappen!$AA119,FALSE)</f>
        <v>0</v>
      </c>
      <c r="AK119" s="3"/>
      <c r="AL119" s="35">
        <f>HLOOKUP(AL$116+20,Kostengegevens!$AK$74:$BN$135,Stappen!$AA119,FALSE)</f>
        <v>67.85145895142125</v>
      </c>
      <c r="AM119" s="35">
        <f>HLOOKUP(AM$116+20,Kostengegevens!$AK$74:$BN$135,Stappen!$AA119,FALSE)</f>
        <v>87.064311784041763</v>
      </c>
      <c r="AN119" s="35">
        <f>HLOOKUP(AN$116+20,Kostengegevens!$AK$74:$BN$135,Stappen!$AA119,FALSE)</f>
        <v>139.57653049119608</v>
      </c>
      <c r="AO119" s="35">
        <f>HLOOKUP(AO$116+20,Kostengegevens!$AK$74:$BN$135,Stappen!$AA119,FALSE)</f>
        <v>0</v>
      </c>
      <c r="AP119" s="3"/>
      <c r="AQ119" s="35">
        <f>HLOOKUP(AQ$116+30,Kostengegevens!$AK$74:$BN$135,Stappen!$AA119,FALSE)</f>
        <v>518.99042017542888</v>
      </c>
      <c r="AR119" s="35">
        <f>HLOOKUP(AR$116+30,Kostengegevens!$AK$74:$BN$135,Stappen!$AA119,FALSE)</f>
        <v>908.03074873270953</v>
      </c>
      <c r="AS119" s="35">
        <f>HLOOKUP(AS$116+30,Kostengegevens!$AK$74:$BN$135,Stappen!$AA119,FALSE)</f>
        <v>1145.126562077493</v>
      </c>
      <c r="AT119" s="35">
        <f>HLOOKUP(AT$116+30,Kostengegevens!$AK$74:$BN$135,Stappen!$AA119,FALSE)</f>
        <v>0</v>
      </c>
      <c r="AU119" s="3"/>
      <c r="AV119" s="35">
        <f>HLOOKUP(AV$116+40,Kostengegevens!$AK$74:$BN$135,Stappen!$AA119,FALSE)</f>
        <v>22.124467176471342</v>
      </c>
      <c r="AW119" s="35">
        <f>HLOOKUP(AW$116+40,Kostengegevens!$AK$74:$BN$135,Stappen!$AA119,FALSE)</f>
        <v>24.441704818184895</v>
      </c>
      <c r="AX119" s="35">
        <f>HLOOKUP(AX$116+40,Kostengegevens!$AK$74:$BN$135,Stappen!$AA119,FALSE)</f>
        <v>48.665483124194722</v>
      </c>
      <c r="AY119" s="35">
        <f>HLOOKUP(AY$116+40,Kostengegevens!$AK$74:$BN$135,Stappen!$AA119,FALSE)</f>
        <v>0</v>
      </c>
      <c r="AZ119" s="3"/>
      <c r="BA119" s="35">
        <f>HLOOKUP(BA$116+50,Kostengegevens!$AK$74:$BN$135,Stappen!$AA119,FALSE)</f>
        <v>11.343140881808608</v>
      </c>
      <c r="BB119" s="35">
        <f>HLOOKUP(BB$116+50,Kostengegevens!$AK$74:$BN$135,Stappen!$AA119,FALSE)</f>
        <v>15.93889475000589</v>
      </c>
      <c r="BC119" s="35">
        <f>HLOOKUP(BC$116+50,Kostengegevens!$AK$74:$BN$135,Stappen!$AA119,FALSE)</f>
        <v>22.63417386705656</v>
      </c>
      <c r="BD119" s="35">
        <f>HLOOKUP(BD$116+50,Kostengegevens!$AK$74:$BN$135,Stappen!$AA119,FALSE)</f>
        <v>0</v>
      </c>
      <c r="BE119" s="3"/>
      <c r="BG119" s="2">
        <v>2</v>
      </c>
      <c r="BH119" s="57">
        <v>4</v>
      </c>
      <c r="BI119" s="56">
        <f>BJ119</f>
        <v>60.280373831775698</v>
      </c>
      <c r="BJ119" s="56">
        <f>HLOOKUP(Stappen!BJ$116,Stappen!$BL$116:$BP$178,BH119,FALSE)*VLOOKUP($BG119,Stappen!$BH$24:$BJ$46,3,FALSE)</f>
        <v>60.280373831775698</v>
      </c>
      <c r="BK119" s="62" t="s">
        <v>22</v>
      </c>
      <c r="BL119" s="61">
        <f>Stappen!BL119</f>
        <v>1</v>
      </c>
      <c r="BM119" s="61">
        <f>Stappen!BM119</f>
        <v>1</v>
      </c>
      <c r="BN119" s="61">
        <f>Stappen!BN119</f>
        <v>1</v>
      </c>
      <c r="BO119" s="61">
        <f>Stappen!BO119</f>
        <v>1</v>
      </c>
      <c r="BP119" s="61">
        <f>Stappen!BP119</f>
        <v>1</v>
      </c>
      <c r="BR119" s="56">
        <f>Stappen!BR119</f>
        <v>2</v>
      </c>
      <c r="BS119" s="56">
        <f>Stappen!BS119</f>
        <v>3</v>
      </c>
      <c r="BT119" s="56">
        <f>Stappen!BT119</f>
        <v>2</v>
      </c>
      <c r="BU119" s="56">
        <f>Stappen!BU119</f>
        <v>2</v>
      </c>
      <c r="BV119" s="56">
        <f>Stappen!BV119</f>
        <v>0</v>
      </c>
    </row>
    <row r="120" spans="1:74" x14ac:dyDescent="0.2">
      <c r="A120" s="113"/>
      <c r="B120" s="114">
        <v>17</v>
      </c>
      <c r="C120" s="236" t="s">
        <v>294</v>
      </c>
      <c r="D120" s="191"/>
      <c r="E120" s="161"/>
      <c r="F120" s="127">
        <f>BI120</f>
        <v>60.280373831775698</v>
      </c>
      <c r="G120" s="127"/>
      <c r="H120" s="133" t="s">
        <v>22</v>
      </c>
      <c r="I120" s="128"/>
      <c r="J120" s="134">
        <f>HLOOKUP($Z120,$AB$116:$AF$183,$AA120,FALSE)*$F120</f>
        <v>3224.4182538948958</v>
      </c>
      <c r="K120" s="129">
        <f t="shared" si="11"/>
        <v>885.76918488855972</v>
      </c>
      <c r="L120" s="130">
        <f t="shared" si="12"/>
        <v>3706.0653828912514</v>
      </c>
      <c r="M120" s="131">
        <f t="shared" si="13"/>
        <v>27315.666116555036</v>
      </c>
      <c r="N120" s="129">
        <f t="shared" si="14"/>
        <v>500.81964320942552</v>
      </c>
      <c r="O120" s="130">
        <f t="shared" si="15"/>
        <v>1081.372634401918</v>
      </c>
      <c r="T120" s="91" t="str">
        <f>HLOOKUP(Z120,$U$116:$Y$183,AA120,FALSE)</f>
        <v>2 prefab betonpalen (lengte 16m)</v>
      </c>
      <c r="U120" s="263" t="s">
        <v>138</v>
      </c>
      <c r="V120" s="263" t="s">
        <v>140</v>
      </c>
      <c r="W120" s="263" t="s">
        <v>141</v>
      </c>
      <c r="X120" s="263"/>
      <c r="Y120" s="263" t="s">
        <v>62</v>
      </c>
      <c r="Z120" s="2">
        <f>HLOOKUP(Z$116,$BR$116:$BV$183,BH120,FALSE)</f>
        <v>2</v>
      </c>
      <c r="AA120" s="35">
        <f t="shared" si="16"/>
        <v>5</v>
      </c>
      <c r="AB120" s="35">
        <f>HLOOKUP(AB$116,Kostengegevens!$AK$74:$BN$135,Stappen!$AA120,FALSE)</f>
        <v>18.282514395420208</v>
      </c>
      <c r="AC120" s="35">
        <f>HLOOKUP(AC$116,Kostengegevens!$AK$74:$BN$135,Stappen!$AA120,FALSE)</f>
        <v>53.490349328178894</v>
      </c>
      <c r="AD120" s="35">
        <f>HLOOKUP(AD$116,Kostengegevens!$AK$74:$BN$135,Stappen!$AA120,FALSE)</f>
        <v>146.2296257197724</v>
      </c>
      <c r="AE120" s="35">
        <f>HLOOKUP(AE$116,Kostengegevens!$AK$74:$BN$135,Stappen!$AA120,FALSE)</f>
        <v>0</v>
      </c>
      <c r="AF120" s="150"/>
      <c r="AG120" s="35">
        <f>HLOOKUP(AG$116+10,Kostengegevens!$AK$74:$BN$135,Stappen!$AA120,FALSE)</f>
        <v>12.168867562377329</v>
      </c>
      <c r="AH120" s="35">
        <f>HLOOKUP(AH$116+10,Kostengegevens!$AK$74:$BN$135,Stappen!$AA120,FALSE)</f>
        <v>14.694155470244326</v>
      </c>
      <c r="AI120" s="35">
        <f>HLOOKUP(AI$116+10,Kostengegevens!$AK$74:$BN$135,Stappen!$AA120,FALSE)</f>
        <v>84.36346449136623</v>
      </c>
      <c r="AJ120" s="35">
        <f>HLOOKUP(AJ$116+10,Kostengegevens!$AK$74:$BN$135,Stappen!$AA120,FALSE)</f>
        <v>0</v>
      </c>
      <c r="AK120" s="3"/>
      <c r="AL120" s="35">
        <f>HLOOKUP(AL$116+20,Kostengegevens!$AK$74:$BN$135,Stappen!$AA120,FALSE)</f>
        <v>42.349366602675332</v>
      </c>
      <c r="AM120" s="35">
        <f>HLOOKUP(AM$116+20,Kostengegevens!$AK$74:$BN$135,Stappen!$AA120,FALSE)</f>
        <v>61.480464491374249</v>
      </c>
      <c r="AN120" s="35">
        <f>HLOOKUP(AN$116+20,Kostengegevens!$AK$74:$BN$135,Stappen!$AA120,FALSE)</f>
        <v>246.61984644913838</v>
      </c>
      <c r="AO120" s="35">
        <f>HLOOKUP(AO$116+20,Kostengegevens!$AK$74:$BN$135,Stappen!$AA120,FALSE)</f>
        <v>0</v>
      </c>
      <c r="AP120" s="3"/>
      <c r="AQ120" s="35">
        <f>HLOOKUP(AQ$116+30,Kostengegevens!$AK$74:$BN$135,Stappen!$AA120,FALSE)</f>
        <v>430.34356046060839</v>
      </c>
      <c r="AR120" s="35">
        <f>HLOOKUP(AR$116+30,Kostengegevens!$AK$74:$BN$135,Stappen!$AA120,FALSE)</f>
        <v>453.1436084451766</v>
      </c>
      <c r="AS120" s="35">
        <f>HLOOKUP(AS$116+30,Kostengegevens!$AK$74:$BN$135,Stappen!$AA120,FALSE)</f>
        <v>3402.9872552783208</v>
      </c>
      <c r="AT120" s="35">
        <f>HLOOKUP(AT$116+30,Kostengegevens!$AK$74:$BN$135,Stappen!$AA120,FALSE)</f>
        <v>0</v>
      </c>
      <c r="AU120" s="3"/>
      <c r="AV120" s="35">
        <f>HLOOKUP(AV$116+40,Kostengegevens!$AK$74:$BN$135,Stappen!$AA120,FALSE)</f>
        <v>3.5422552783098809</v>
      </c>
      <c r="AW120" s="35">
        <f>HLOOKUP(AW$116+40,Kostengegevens!$AK$74:$BN$135,Stappen!$AA120,FALSE)</f>
        <v>8.3081708253346562</v>
      </c>
      <c r="AX120" s="35">
        <f>HLOOKUP(AX$116+40,Kostengegevens!$AK$74:$BN$135,Stappen!$AA120,FALSE)</f>
        <v>25.095163147803135</v>
      </c>
      <c r="AY120" s="35">
        <f>HLOOKUP(AY$116+40,Kostengegevens!$AK$74:$BN$135,Stappen!$AA120,FALSE)</f>
        <v>0</v>
      </c>
      <c r="AZ120" s="3"/>
      <c r="BA120" s="35">
        <f>HLOOKUP(BA$116+50,Kostengegevens!$AK$74:$BN$135,Stappen!$AA120,FALSE)</f>
        <v>9.0388867562393216</v>
      </c>
      <c r="BB120" s="35">
        <f>HLOOKUP(BB$116+50,Kostengegevens!$AK$74:$BN$135,Stappen!$AA120,FALSE)</f>
        <v>17.939049904031819</v>
      </c>
      <c r="BC120" s="35">
        <f>HLOOKUP(BC$116+50,Kostengegevens!$AK$74:$BN$135,Stappen!$AA120,FALSE)</f>
        <v>29.692571976969532</v>
      </c>
      <c r="BD120" s="35">
        <f>HLOOKUP(BD$116+50,Kostengegevens!$AK$74:$BN$135,Stappen!$AA120,FALSE)</f>
        <v>0</v>
      </c>
      <c r="BE120" s="3"/>
      <c r="BG120" s="2">
        <v>2</v>
      </c>
      <c r="BH120" s="57">
        <v>5</v>
      </c>
      <c r="BI120" s="56">
        <f>BJ120</f>
        <v>60.280373831775698</v>
      </c>
      <c r="BJ120" s="56">
        <f>HLOOKUP(Stappen!BJ$116,Stappen!$BL$116:$BP$178,BH120,FALSE)*VLOOKUP($BG120,Stappen!$BH$24:$BJ$46,3,FALSE)</f>
        <v>60.280373831775698</v>
      </c>
      <c r="BK120" s="62" t="s">
        <v>22</v>
      </c>
      <c r="BL120" s="61">
        <f>Stappen!BL120</f>
        <v>1</v>
      </c>
      <c r="BM120" s="61">
        <f>Stappen!BM120</f>
        <v>1</v>
      </c>
      <c r="BN120" s="61">
        <f>Stappen!BN120</f>
        <v>1</v>
      </c>
      <c r="BO120" s="61">
        <f>Stappen!BO120</f>
        <v>1</v>
      </c>
      <c r="BP120" s="61">
        <f>Stappen!BP120</f>
        <v>1</v>
      </c>
      <c r="BR120" s="56">
        <f>Stappen!BR120</f>
        <v>2</v>
      </c>
      <c r="BS120" s="56">
        <f>Stappen!BS120</f>
        <v>2</v>
      </c>
      <c r="BT120" s="56">
        <f>Stappen!BT120</f>
        <v>1</v>
      </c>
      <c r="BU120" s="56">
        <f>Stappen!BU120</f>
        <v>1</v>
      </c>
      <c r="BV120" s="56">
        <f>Stappen!BV120</f>
        <v>0</v>
      </c>
    </row>
    <row r="121" spans="1:74" x14ac:dyDescent="0.2">
      <c r="A121" s="120" t="s">
        <v>164</v>
      </c>
      <c r="B121" s="114"/>
      <c r="C121" s="235" t="s">
        <v>52</v>
      </c>
      <c r="D121" s="191"/>
      <c r="E121" s="161"/>
      <c r="F121" s="133"/>
      <c r="G121" s="133"/>
      <c r="H121" s="133"/>
      <c r="I121" s="128"/>
      <c r="J121" s="134"/>
      <c r="K121" s="129"/>
      <c r="L121" s="130"/>
      <c r="M121" s="131"/>
      <c r="N121" s="129"/>
      <c r="O121" s="130"/>
      <c r="P121" s="84"/>
      <c r="T121" s="91"/>
      <c r="U121" s="263"/>
      <c r="V121" s="263"/>
      <c r="W121" s="263"/>
      <c r="X121" s="263"/>
      <c r="Y121" s="263"/>
      <c r="AA121" s="35">
        <f t="shared" si="16"/>
        <v>6</v>
      </c>
      <c r="AB121" s="35">
        <f>HLOOKUP(AB$116,Kostengegevens!$AK$74:$BN$135,Stappen!$AA121,FALSE)</f>
        <v>0</v>
      </c>
      <c r="AC121" s="35">
        <f>HLOOKUP(AC$116,Kostengegevens!$AK$74:$BN$135,Stappen!$AA121,FALSE)</f>
        <v>0</v>
      </c>
      <c r="AD121" s="35">
        <f>HLOOKUP(AD$116,Kostengegevens!$AK$74:$BN$135,Stappen!$AA121,FALSE)</f>
        <v>0</v>
      </c>
      <c r="AE121" s="35">
        <f>HLOOKUP(AE$116,Kostengegevens!$AK$74:$BN$135,Stappen!$AA121,FALSE)</f>
        <v>0</v>
      </c>
      <c r="AF121" s="150"/>
      <c r="AG121" s="35">
        <f>HLOOKUP(AG$116+10,Kostengegevens!$AK$74:$BN$135,Stappen!$AA121,FALSE)</f>
        <v>0</v>
      </c>
      <c r="AH121" s="35">
        <f>HLOOKUP(AH$116+10,Kostengegevens!$AK$74:$BN$135,Stappen!$AA121,FALSE)</f>
        <v>0</v>
      </c>
      <c r="AI121" s="35">
        <f>HLOOKUP(AI$116+10,Kostengegevens!$AK$74:$BN$135,Stappen!$AA121,FALSE)</f>
        <v>0</v>
      </c>
      <c r="AJ121" s="35">
        <f>HLOOKUP(AJ$116+10,Kostengegevens!$AK$74:$BN$135,Stappen!$AA121,FALSE)</f>
        <v>0</v>
      </c>
      <c r="AK121" s="3"/>
      <c r="AL121" s="35">
        <f>HLOOKUP(AL$116+20,Kostengegevens!$AK$74:$BN$135,Stappen!$AA121,FALSE)</f>
        <v>0</v>
      </c>
      <c r="AM121" s="35">
        <f>HLOOKUP(AM$116+20,Kostengegevens!$AK$74:$BN$135,Stappen!$AA121,FALSE)</f>
        <v>0</v>
      </c>
      <c r="AN121" s="35">
        <f>HLOOKUP(AN$116+20,Kostengegevens!$AK$74:$BN$135,Stappen!$AA121,FALSE)</f>
        <v>0</v>
      </c>
      <c r="AO121" s="35">
        <f>HLOOKUP(AO$116+20,Kostengegevens!$AK$74:$BN$135,Stappen!$AA121,FALSE)</f>
        <v>0</v>
      </c>
      <c r="AP121" s="3"/>
      <c r="AQ121" s="35">
        <f>HLOOKUP(AQ$116+30,Kostengegevens!$AK$74:$BN$135,Stappen!$AA121,FALSE)</f>
        <v>0</v>
      </c>
      <c r="AR121" s="35">
        <f>HLOOKUP(AR$116+30,Kostengegevens!$AK$74:$BN$135,Stappen!$AA121,FALSE)</f>
        <v>0</v>
      </c>
      <c r="AS121" s="35">
        <f>HLOOKUP(AS$116+30,Kostengegevens!$AK$74:$BN$135,Stappen!$AA121,FALSE)</f>
        <v>0</v>
      </c>
      <c r="AT121" s="35">
        <f>HLOOKUP(AT$116+30,Kostengegevens!$AK$74:$BN$135,Stappen!$AA121,FALSE)</f>
        <v>0</v>
      </c>
      <c r="AU121" s="3"/>
      <c r="AV121" s="35">
        <f>HLOOKUP(AV$116+40,Kostengegevens!$AK$74:$BN$135,Stappen!$AA121,FALSE)</f>
        <v>0</v>
      </c>
      <c r="AW121" s="35">
        <f>HLOOKUP(AW$116+40,Kostengegevens!$AK$74:$BN$135,Stappen!$AA121,FALSE)</f>
        <v>0</v>
      </c>
      <c r="AX121" s="35">
        <f>HLOOKUP(AX$116+40,Kostengegevens!$AK$74:$BN$135,Stappen!$AA121,FALSE)</f>
        <v>0</v>
      </c>
      <c r="AY121" s="35">
        <f>HLOOKUP(AY$116+40,Kostengegevens!$AK$74:$BN$135,Stappen!$AA121,FALSE)</f>
        <v>0</v>
      </c>
      <c r="AZ121" s="3"/>
      <c r="BA121" s="35">
        <f>HLOOKUP(BA$116+50,Kostengegevens!$AK$74:$BN$135,Stappen!$AA121,FALSE)</f>
        <v>0</v>
      </c>
      <c r="BB121" s="35">
        <f>HLOOKUP(BB$116+50,Kostengegevens!$AK$74:$BN$135,Stappen!$AA121,FALSE)</f>
        <v>0</v>
      </c>
      <c r="BC121" s="35">
        <f>HLOOKUP(BC$116+50,Kostengegevens!$AK$74:$BN$135,Stappen!$AA121,FALSE)</f>
        <v>0</v>
      </c>
      <c r="BD121" s="35">
        <f>HLOOKUP(BD$116+50,Kostengegevens!$AK$74:$BN$135,Stappen!$AA121,FALSE)</f>
        <v>0</v>
      </c>
      <c r="BE121" s="3"/>
      <c r="BH121" s="57">
        <v>6</v>
      </c>
      <c r="BI121" s="56"/>
      <c r="BJ121" s="56"/>
      <c r="BK121" s="62"/>
      <c r="BL121" s="105"/>
      <c r="BM121" s="105"/>
      <c r="BN121" s="105"/>
      <c r="BO121" s="105"/>
      <c r="BP121" s="105"/>
      <c r="BR121" s="56"/>
      <c r="BS121" s="56"/>
      <c r="BT121" s="56"/>
      <c r="BU121" s="56"/>
      <c r="BV121" s="56"/>
    </row>
    <row r="122" spans="1:74" x14ac:dyDescent="0.2">
      <c r="A122" s="113"/>
      <c r="B122" s="114">
        <v>21</v>
      </c>
      <c r="C122" s="236" t="s">
        <v>295</v>
      </c>
      <c r="D122" s="191"/>
      <c r="E122" s="161"/>
      <c r="F122" s="127">
        <f>BI122</f>
        <v>72.89719626168224</v>
      </c>
      <c r="G122" s="127"/>
      <c r="H122" s="133" t="s">
        <v>22</v>
      </c>
      <c r="I122" s="128"/>
      <c r="J122" s="134">
        <f>HLOOKUP($Z122,$AB$116:$AF$183,$AA122,FALSE)*$F122</f>
        <v>4352.5371046844921</v>
      </c>
      <c r="K122" s="129">
        <f t="shared" si="11"/>
        <v>585.92773467027894</v>
      </c>
      <c r="L122" s="130">
        <f t="shared" si="12"/>
        <v>2073.0065594459402</v>
      </c>
      <c r="M122" s="131">
        <f t="shared" si="13"/>
        <v>20587.855779682202</v>
      </c>
      <c r="N122" s="129">
        <f t="shared" si="14"/>
        <v>540.76099061243156</v>
      </c>
      <c r="O122" s="130">
        <f t="shared" si="15"/>
        <v>275.07761712489241</v>
      </c>
      <c r="T122" s="91" t="str">
        <f>HLOOKUP(Z122,$U$116:$Y$183,AA122,FALSE)</f>
        <v>1 kalkzandsteen binnenblad</v>
      </c>
      <c r="U122" s="263" t="s">
        <v>67</v>
      </c>
      <c r="V122" s="263" t="s">
        <v>349</v>
      </c>
      <c r="W122" s="263" t="s">
        <v>85</v>
      </c>
      <c r="X122" s="99" t="s">
        <v>417</v>
      </c>
      <c r="Y122" s="263" t="s">
        <v>62</v>
      </c>
      <c r="Z122" s="2">
        <f>HLOOKUP(Z$116,$BR$116:$BV$183,BH122,FALSE)</f>
        <v>1</v>
      </c>
      <c r="AA122" s="35">
        <f t="shared" si="16"/>
        <v>7</v>
      </c>
      <c r="AB122" s="35">
        <f>HLOOKUP(AB$116,Kostengegevens!$AK$74:$BN$135,Stappen!$AA122,FALSE)</f>
        <v>59.70788079503086</v>
      </c>
      <c r="AC122" s="35">
        <f>HLOOKUP(AC$116,Kostengegevens!$AK$74:$BN$135,Stappen!$AA122,FALSE)</f>
        <v>55.882894800235533</v>
      </c>
      <c r="AD122" s="35">
        <f>HLOOKUP(AD$116,Kostengegevens!$AK$74:$BN$135,Stappen!$AA122,FALSE)</f>
        <v>141.76919999980373</v>
      </c>
      <c r="AE122" s="42">
        <f>HLOOKUP(AE$116,Kostengegevens!$AK$74:$BN$135,Stappen!$AA122,FALSE)+AE66</f>
        <v>81.06175800002643</v>
      </c>
      <c r="AF122" s="3"/>
      <c r="AG122" s="35">
        <f>HLOOKUP(AG$116+10,Kostengegevens!$AK$74:$BN$135,Stappen!$AA122,FALSE)</f>
        <v>8.0377266166307493</v>
      </c>
      <c r="AH122" s="35">
        <f>HLOOKUP(AH$116+10,Kostengegevens!$AK$74:$BN$135,Stappen!$AA122,FALSE)</f>
        <v>15.386024299965939</v>
      </c>
      <c r="AI122" s="35">
        <f>HLOOKUP(AI$116+10,Kostengegevens!$AK$74:$BN$135,Stappen!$AA122,FALSE)</f>
        <v>42.124900000006903</v>
      </c>
      <c r="AJ122" s="42">
        <f>HLOOKUP(AJ$116+10,Kostengegevens!$AK$74:$BN$135,Stappen!$AA122,FALSE)+AJ66</f>
        <v>12.147972499921451</v>
      </c>
      <c r="AK122" s="3"/>
      <c r="AL122" s="35">
        <f>HLOOKUP(AL$116+20,Kostengegevens!$AK$74:$BN$135,Stappen!$AA122,FALSE)</f>
        <v>28.437397674450722</v>
      </c>
      <c r="AM122" s="35">
        <f>HLOOKUP(AM$116+20,Kostengegevens!$AK$74:$BN$135,Stappen!$AA122,FALSE)</f>
        <v>69.061782099897982</v>
      </c>
      <c r="AN122" s="35">
        <f>HLOOKUP(AN$116+20,Kostengegevens!$AK$74:$BN$135,Stappen!$AA122,FALSE)</f>
        <v>94.181800000043495</v>
      </c>
      <c r="AO122" s="42">
        <f>HLOOKUP(AO$116+20,Kostengegevens!$AK$74:$BN$135,Stappen!$AA122,FALSE)+AO66</f>
        <v>76.353118000098078</v>
      </c>
      <c r="AP122" s="3"/>
      <c r="AQ122" s="35">
        <f>HLOOKUP(AQ$116+30,Kostengegevens!$AK$74:$BN$135,Stappen!$AA122,FALSE)</f>
        <v>282.42314979820458</v>
      </c>
      <c r="AR122" s="35">
        <f>HLOOKUP(AR$116+30,Kostengegevens!$AK$74:$BN$135,Stappen!$AA122,FALSE)</f>
        <v>748.12414630021931</v>
      </c>
      <c r="AS122" s="35">
        <f>HLOOKUP(AS$116+30,Kostengegevens!$AK$74:$BN$135,Stappen!$AA122,FALSE)</f>
        <v>1122.3645999994123</v>
      </c>
      <c r="AT122" s="42">
        <f>HLOOKUP(AT$116+30,Kostengegevens!$AK$74:$BN$135,Stappen!$AA122,FALSE)+AT66</f>
        <v>387.84015250023458</v>
      </c>
      <c r="AU122" s="3"/>
      <c r="AV122" s="35">
        <f>HLOOKUP(AV$116+40,Kostengegevens!$AK$74:$BN$135,Stappen!$AA122,FALSE)</f>
        <v>7.4181315378884847</v>
      </c>
      <c r="AW122" s="35">
        <f>HLOOKUP(AW$116+40,Kostengegevens!$AK$74:$BN$135,Stappen!$AA122,FALSE)</f>
        <v>21.189117400012321</v>
      </c>
      <c r="AX122" s="35">
        <f>HLOOKUP(AX$116+40,Kostengegevens!$AK$74:$BN$135,Stappen!$AA122,FALSE)</f>
        <v>8.1242000000015935</v>
      </c>
      <c r="AY122" s="42">
        <f>HLOOKUP(AY$116+40,Kostengegevens!$AK$74:$BN$135,Stappen!$AA122,FALSE)+AY66</f>
        <v>57.804137999999227</v>
      </c>
      <c r="AZ122" s="3"/>
      <c r="BA122" s="35">
        <f>HLOOKUP(BA$116+50,Kostengegevens!$AK$74:$BN$135,Stappen!$AA122,FALSE)</f>
        <v>3.7735006451748063</v>
      </c>
      <c r="BB122" s="35">
        <f>HLOOKUP(BB$116+50,Kostengegevens!$AK$74:$BN$135,Stappen!$AA122,FALSE)</f>
        <v>8.6825688000069903</v>
      </c>
      <c r="BC122" s="35">
        <f>HLOOKUP(BC$116+50,Kostengegevens!$AK$74:$BN$135,Stappen!$AA122,FALSE)</f>
        <v>16.070099999973323</v>
      </c>
      <c r="BD122" s="42">
        <f>HLOOKUP(BD$116+50,Kostengegevens!$AK$74:$BN$135,Stappen!$AA122,FALSE)+BD66</f>
        <v>2.7259350000170528</v>
      </c>
      <c r="BE122" s="3"/>
      <c r="BG122" s="2">
        <v>3</v>
      </c>
      <c r="BH122" s="57">
        <v>7</v>
      </c>
      <c r="BI122" s="56">
        <f>BJ122</f>
        <v>72.89719626168224</v>
      </c>
      <c r="BJ122" s="56">
        <f>HLOOKUP(Stappen!BJ$116,Stappen!$BL$116:$BP$178,BH122,FALSE)*VLOOKUP($BG122,Stappen!$BH$24:$BJ$46,3,FALSE)</f>
        <v>72.89719626168224</v>
      </c>
      <c r="BK122" s="62" t="s">
        <v>22</v>
      </c>
      <c r="BL122" s="61">
        <f>Stappen!BL122</f>
        <v>0.4244060475161987</v>
      </c>
      <c r="BM122" s="61">
        <f>Stappen!BM122</f>
        <v>0.48598130841121495</v>
      </c>
      <c r="BN122" s="61">
        <f>Stappen!BN122</f>
        <v>0.60804020100502509</v>
      </c>
      <c r="BO122" s="61">
        <f>Stappen!BO122</f>
        <v>0.67221735319894826</v>
      </c>
      <c r="BP122" s="61">
        <f>Stappen!BP122</f>
        <v>0.4244060475161987</v>
      </c>
      <c r="BR122" s="56">
        <f>Stappen!BR122</f>
        <v>2</v>
      </c>
      <c r="BS122" s="56">
        <f>Stappen!BS122</f>
        <v>1</v>
      </c>
      <c r="BT122" s="56">
        <f>Stappen!BT122</f>
        <v>1</v>
      </c>
      <c r="BU122" s="56">
        <f>Stappen!BU122</f>
        <v>1</v>
      </c>
      <c r="BV122" s="56">
        <f>Stappen!BV122</f>
        <v>0</v>
      </c>
    </row>
    <row r="123" spans="1:74" x14ac:dyDescent="0.2">
      <c r="A123" s="113"/>
      <c r="B123" s="114">
        <v>22</v>
      </c>
      <c r="C123" s="236" t="s">
        <v>296</v>
      </c>
      <c r="D123" s="191"/>
      <c r="E123" s="161"/>
      <c r="F123" s="127">
        <f>BI123</f>
        <v>39.252336448598129</v>
      </c>
      <c r="G123" s="127"/>
      <c r="H123" s="133" t="s">
        <v>22</v>
      </c>
      <c r="I123" s="128"/>
      <c r="J123" s="134">
        <f t="shared" ref="J123:J134" si="17">HLOOKUP($Z123,$AB$116:$AF$183,$AA123,FALSE)*$F123</f>
        <v>4225.9654205579691</v>
      </c>
      <c r="K123" s="129">
        <f t="shared" si="11"/>
        <v>650.68598131031217</v>
      </c>
      <c r="L123" s="130">
        <f t="shared" si="12"/>
        <v>2384.245794397239</v>
      </c>
      <c r="M123" s="131">
        <f t="shared" si="13"/>
        <v>22876.242056064239</v>
      </c>
      <c r="N123" s="129">
        <f t="shared" si="14"/>
        <v>594.3785046735369</v>
      </c>
      <c r="O123" s="130">
        <f t="shared" si="15"/>
        <v>30.381308412549267</v>
      </c>
      <c r="T123" s="91" t="str">
        <f>HLOOKUP(Z123,$U$116:$Y$183,AA123,FALSE)</f>
        <v>1 kalkzandst.bi.wand (spouw 2xE150)</v>
      </c>
      <c r="U123" s="263" t="s">
        <v>335</v>
      </c>
      <c r="V123" s="263" t="s">
        <v>75</v>
      </c>
      <c r="W123" s="263" t="s">
        <v>86</v>
      </c>
      <c r="X123" s="263" t="s">
        <v>418</v>
      </c>
      <c r="Y123" s="263" t="s">
        <v>62</v>
      </c>
      <c r="Z123" s="2">
        <f>HLOOKUP(Z$116,$BR$116:$BV$183,BH123,FALSE)</f>
        <v>1</v>
      </c>
      <c r="AA123" s="35">
        <f t="shared" si="16"/>
        <v>8</v>
      </c>
      <c r="AB123" s="35">
        <f>HLOOKUP(AB$116,Kostengegevens!$AK$74:$BN$135,Stappen!$AA123,FALSE)</f>
        <v>107.66149999992922</v>
      </c>
      <c r="AC123" s="35">
        <f>HLOOKUP(AC$116,Kostengegevens!$AK$74:$BN$135,Stappen!$AA123,FALSE)</f>
        <v>68.307627800153568</v>
      </c>
      <c r="AD123" s="35">
        <f>HLOOKUP(AD$116,Kostengegevens!$AK$74:$BN$135,Stappen!$AA123,FALSE)</f>
        <v>186.94500000029802</v>
      </c>
      <c r="AE123" s="35">
        <f>HLOOKUP(AE$116,Kostengegevens!$AK$74:$BN$135,Stappen!$AA123,FALSE)</f>
        <v>100.50770000007469</v>
      </c>
      <c r="AF123" s="3"/>
      <c r="AG123" s="35">
        <f>HLOOKUP(AG$116+10,Kostengegevens!$AK$74:$BN$135,Stappen!$AA123,FALSE)</f>
        <v>16.577000000048429</v>
      </c>
      <c r="AH123" s="35">
        <f>HLOOKUP(AH$116+10,Kostengegevens!$AK$74:$BN$135,Stappen!$AA123,FALSE)</f>
        <v>29.494344000006095</v>
      </c>
      <c r="AI123" s="35">
        <f>HLOOKUP(AI$116+10,Kostengegevens!$AK$74:$BN$135,Stappen!$AA123,FALSE)</f>
        <v>66.875</v>
      </c>
      <c r="AJ123" s="35">
        <f>HLOOKUP(AJ$116+10,Kostengegevens!$AK$74:$BN$135,Stappen!$AA123,FALSE)</f>
        <v>18.15562500001397</v>
      </c>
      <c r="AK123" s="3"/>
      <c r="AL123" s="35">
        <f>HLOOKUP(AL$116+20,Kostengegevens!$AK$74:$BN$135,Stappen!$AA123,FALSE)</f>
        <v>60.741500000120141</v>
      </c>
      <c r="AM123" s="35">
        <f>HLOOKUP(AM$116+20,Kostengegevens!$AK$74:$BN$135,Stappen!$AA123,FALSE)</f>
        <v>134.64728280005511</v>
      </c>
      <c r="AN123" s="35">
        <f>HLOOKUP(AN$116+20,Kostengegevens!$AK$74:$BN$135,Stappen!$AA123,FALSE)</f>
        <v>151.55499999993481</v>
      </c>
      <c r="AO123" s="35">
        <f>HLOOKUP(AO$116+20,Kostengegevens!$AK$74:$BN$135,Stappen!$AA123,FALSE)</f>
        <v>100.72070000000531</v>
      </c>
      <c r="AP123" s="3"/>
      <c r="AQ123" s="35">
        <f>HLOOKUP(AQ$116+30,Kostengegevens!$AK$74:$BN$135,Stappen!$AA123,FALSE)</f>
        <v>582.79949999973178</v>
      </c>
      <c r="AR123" s="35">
        <f>HLOOKUP(AR$116+30,Kostengegevens!$AK$74:$BN$135,Stappen!$AA123,FALSE)</f>
        <v>875.42701900005386</v>
      </c>
      <c r="AS123" s="35">
        <f>HLOOKUP(AS$116+30,Kostengegevens!$AK$74:$BN$135,Stappen!$AA123,FALSE)</f>
        <v>1665.9100000001481</v>
      </c>
      <c r="AT123" s="35">
        <f>HLOOKUP(AT$116+30,Kostengegevens!$AK$74:$BN$135,Stappen!$AA123,FALSE)</f>
        <v>527.10812500026077</v>
      </c>
      <c r="AU123" s="3"/>
      <c r="AV123" s="35">
        <f>HLOOKUP(AV$116+40,Kostengegevens!$AK$74:$BN$135,Stappen!$AA123,FALSE)</f>
        <v>15.142500000016298</v>
      </c>
      <c r="AW123" s="35">
        <f>HLOOKUP(AW$116+40,Kostengegevens!$AK$74:$BN$135,Stappen!$AA123,FALSE)</f>
        <v>39.979672799992841</v>
      </c>
      <c r="AX123" s="35">
        <f>HLOOKUP(AX$116+40,Kostengegevens!$AK$74:$BN$135,Stappen!$AA123,FALSE)</f>
        <v>12.619999999995343</v>
      </c>
      <c r="AY123" s="35">
        <f>HLOOKUP(AY$116+40,Kostengegevens!$AK$74:$BN$135,Stappen!$AA123,FALSE)</f>
        <v>74.917200000025318</v>
      </c>
      <c r="AZ123" s="3"/>
      <c r="BA123" s="35">
        <f>HLOOKUP(BA$116+50,Kostengegevens!$AK$74:$BN$135,Stappen!$AA123,FALSE)</f>
        <v>0.77400000003399327</v>
      </c>
      <c r="BB123" s="35">
        <f>HLOOKUP(BB$116+50,Kostengegevens!$AK$74:$BN$135,Stappen!$AA123,FALSE)</f>
        <v>30.264395000005607</v>
      </c>
      <c r="BC123" s="35">
        <f>HLOOKUP(BC$116+50,Kostengegevens!$AK$74:$BN$135,Stappen!$AA123,FALSE)</f>
        <v>29.5</v>
      </c>
      <c r="BD123" s="35">
        <f>HLOOKUP(BD$116+50,Kostengegevens!$AK$74:$BN$135,Stappen!$AA123,FALSE)</f>
        <v>3.9597499999799766</v>
      </c>
      <c r="BE123" s="3"/>
      <c r="BG123" s="2">
        <v>3</v>
      </c>
      <c r="BH123" s="57">
        <v>8</v>
      </c>
      <c r="BI123" s="56">
        <f>BJ123</f>
        <v>39.252336448598129</v>
      </c>
      <c r="BJ123" s="56">
        <f>HLOOKUP(Stappen!BJ$116,Stappen!$BL$116:$BP$178,BH123,FALSE)*VLOOKUP($BG123,Stappen!$BH$24:$BJ$46,3,FALSE)</f>
        <v>39.252336448598129</v>
      </c>
      <c r="BK123" s="62" t="s">
        <v>22</v>
      </c>
      <c r="BL123" s="61">
        <f>Stappen!BL123</f>
        <v>0.11771058315334773</v>
      </c>
      <c r="BM123" s="61">
        <f>Stappen!BM123</f>
        <v>0.26168224299065418</v>
      </c>
      <c r="BN123" s="61">
        <f>Stappen!BN123</f>
        <v>0.314070351758794</v>
      </c>
      <c r="BO123" s="61">
        <f>Stappen!BO123</f>
        <v>0.27782646801051708</v>
      </c>
      <c r="BP123" s="61">
        <f>Stappen!BP123</f>
        <v>0.11771058315334773</v>
      </c>
      <c r="BR123" s="56">
        <f>Stappen!BR123</f>
        <v>2</v>
      </c>
      <c r="BS123" s="56">
        <f>Stappen!BS123</f>
        <v>1</v>
      </c>
      <c r="BT123" s="56">
        <f>Stappen!BT123</f>
        <v>1</v>
      </c>
      <c r="BU123" s="56">
        <f>Stappen!BU123</f>
        <v>1</v>
      </c>
      <c r="BV123" s="56">
        <f>Stappen!BV123</f>
        <v>0</v>
      </c>
    </row>
    <row r="124" spans="1:74" x14ac:dyDescent="0.2">
      <c r="A124" s="113"/>
      <c r="B124" s="114">
        <v>23</v>
      </c>
      <c r="C124" s="236" t="s">
        <v>297</v>
      </c>
      <c r="D124" s="215"/>
      <c r="E124" s="161"/>
      <c r="F124" s="127">
        <f>BI124</f>
        <v>124.76635514018692</v>
      </c>
      <c r="G124" s="127"/>
      <c r="H124" s="133" t="s">
        <v>22</v>
      </c>
      <c r="I124" s="128"/>
      <c r="J124" s="134">
        <f t="shared" si="17"/>
        <v>6806.8387359956223</v>
      </c>
      <c r="K124" s="129">
        <f t="shared" si="11"/>
        <v>1951.0973014069416</v>
      </c>
      <c r="L124" s="130">
        <f t="shared" si="12"/>
        <v>8494.4180584181304</v>
      </c>
      <c r="M124" s="131">
        <f t="shared" si="13"/>
        <v>66408.104836441882</v>
      </c>
      <c r="N124" s="129">
        <f t="shared" si="14"/>
        <v>2240.8424158890302</v>
      </c>
      <c r="O124" s="130">
        <f t="shared" si="15"/>
        <v>2093.0231892530069</v>
      </c>
      <c r="T124" s="91" t="str">
        <f>HLOOKUP(Z124,$U$116:$Y$183,AA124,FALSE)</f>
        <v>3 kanaalplaatvloer</v>
      </c>
      <c r="U124" s="99" t="s">
        <v>336</v>
      </c>
      <c r="V124" s="263" t="s">
        <v>76</v>
      </c>
      <c r="W124" s="263" t="s">
        <v>87</v>
      </c>
      <c r="X124" s="263" t="s">
        <v>419</v>
      </c>
      <c r="Y124" s="263" t="s">
        <v>62</v>
      </c>
      <c r="Z124" s="2">
        <f>HLOOKUP(Z$116,$BR$116:$BV$183,BH124,FALSE)</f>
        <v>3</v>
      </c>
      <c r="AA124" s="35">
        <f t="shared" si="16"/>
        <v>9</v>
      </c>
      <c r="AB124" s="42">
        <f>HLOOKUP(AB$116,Kostengegevens!$AK$74:$BN$135,Stappen!$AA124,FALSE)+AB67*($F$117-$F$118)/$F$124</f>
        <v>63.802127833245322</v>
      </c>
      <c r="AC124" s="42">
        <f>HLOOKUP(AC$116,Kostengegevens!$AK$74:$BN$135,Stappen!$AA124,FALSE)+AC67*($F$117-$F$118)/$F$124</f>
        <v>59.173744999881251</v>
      </c>
      <c r="AD124" s="42">
        <f>HLOOKUP(AD$116,Kostengegevens!$AK$74:$BN$135,Stappen!$AA124,FALSE)+AD67*($F$117-$F$118)/$F$124</f>
        <v>54.556685000114726</v>
      </c>
      <c r="AE124" s="42">
        <f>HLOOKUP(AE$116,Kostengegevens!$AK$74:$BN$135,Stappen!$AA124,FALSE)+AE67*($F$117-$F$118)/$F$124</f>
        <v>45.759851666710631</v>
      </c>
      <c r="AF124" s="3"/>
      <c r="AG124" s="42">
        <f>HLOOKUP(AG$116+10,Kostengegevens!$AK$74:$BN$135,Stappen!$AA124,FALSE)+AG67*($F$117-$F$118)/$F$124</f>
        <v>25.723293333294947</v>
      </c>
      <c r="AH124" s="42">
        <f>HLOOKUP(AH$116+10,Kostengegevens!$AK$74:$BN$135,Stappen!$AA124,FALSE)+AH67*($F$117-$F$118)/$F$124</f>
        <v>31.279715000050302</v>
      </c>
      <c r="AI124" s="42">
        <f>HLOOKUP(AI$116+10,Kostengegevens!$AK$74:$BN$135,Stappen!$AA124,FALSE)+AI67*($F$117-$F$118)/$F$124</f>
        <v>15.638008333373989</v>
      </c>
      <c r="AJ124" s="42">
        <f>HLOOKUP(AJ$116+10,Kostengegevens!$AK$74:$BN$135,Stappen!$AA124,FALSE)+AJ67*($F$117-$F$118)/$F$124</f>
        <v>13.667608333421711</v>
      </c>
      <c r="AK124" s="3"/>
      <c r="AL124" s="42">
        <f>HLOOKUP(AL$116+20,Kostengegevens!$AK$74:$BN$135,Stappen!$AA124,FALSE)+AL67*($F$117-$F$118)/$F$124</f>
        <v>95.631629499956034</v>
      </c>
      <c r="AM124" s="42">
        <f>HLOOKUP(AM$116+20,Kostengegevens!$AK$74:$BN$135,Stappen!$AA124,FALSE)+AM67*($F$117-$F$118)/$F$124</f>
        <v>118.84641499991994</v>
      </c>
      <c r="AN124" s="42">
        <f>HLOOKUP(AN$116+20,Kostengegevens!$AK$74:$BN$135,Stappen!$AA124,FALSE)+AN67*($F$117-$F$118)/$F$124</f>
        <v>68.082601666722098</v>
      </c>
      <c r="AO124" s="42">
        <f>HLOOKUP(AO$116+20,Kostengegevens!$AK$74:$BN$135,Stappen!$AA124,FALSE)+AO67*($F$117-$F$118)/$F$124</f>
        <v>54.185268333298154</v>
      </c>
      <c r="AP124" s="3"/>
      <c r="AQ124" s="42">
        <f>HLOOKUP(AQ$116+30,Kostengegevens!$AK$74:$BN$135,Stappen!$AA124,FALSE)+AQ67*($F$117-$F$118)/$F$124</f>
        <v>870.15907083389629</v>
      </c>
      <c r="AR124" s="42">
        <f>HLOOKUP(AR$116+30,Kostengegevens!$AK$74:$BN$135,Stappen!$AA124,FALSE)+AR67*($F$117-$F$118)/$F$124</f>
        <v>1132.9503133328008</v>
      </c>
      <c r="AS124" s="42">
        <f>HLOOKUP(AS$116+30,Kostengegevens!$AK$74:$BN$135,Stappen!$AA124,FALSE)+AS67*($F$117-$F$118)/$F$124</f>
        <v>532.2597166666128</v>
      </c>
      <c r="AT124" s="42">
        <f>HLOOKUP(AT$116+30,Kostengegevens!$AK$74:$BN$135,Stappen!$AA124,FALSE)+AT67*($F$117-$F$118)/$F$124</f>
        <v>496.3538666684185</v>
      </c>
      <c r="AU124" s="3"/>
      <c r="AV124" s="42">
        <f>HLOOKUP(AV$116+40,Kostengegevens!$AK$74:$BN$135,Stappen!$AA124,FALSE)+AV67*($F$117-$F$118)/$F$124</f>
        <v>21.863603666647862</v>
      </c>
      <c r="AW124" s="42">
        <f>HLOOKUP(AW$116+40,Kostengegevens!$AK$74:$BN$135,Stappen!$AA124,FALSE)+AW67*($F$117-$F$118)/$F$124</f>
        <v>25.717470000012952</v>
      </c>
      <c r="AX124" s="42">
        <f>HLOOKUP(AX$116+40,Kostengegevens!$AK$74:$BN$135,Stappen!$AA124,FALSE)+AX67*($F$117-$F$118)/$F$124</f>
        <v>17.960310000009457</v>
      </c>
      <c r="AY124" s="42">
        <f>HLOOKUP(AY$116+40,Kostengegevens!$AK$74:$BN$135,Stappen!$AA124,FALSE)+AY67*($F$117-$F$118)/$F$124</f>
        <v>21.598343333345838</v>
      </c>
      <c r="AZ124" s="3"/>
      <c r="BA124" s="42">
        <f>HLOOKUP(BA$116+50,Kostengegevens!$AK$74:$BN$135,Stappen!$AA124,FALSE)+BA67*($F$117-$F$118)/$F$124</f>
        <v>23.881719166684604</v>
      </c>
      <c r="BB124" s="42">
        <f>HLOOKUP(BB$116+50,Kostengegevens!$AK$74:$BN$135,Stappen!$AA124,FALSE)+BB67*($F$117-$F$118)/$F$124</f>
        <v>24.675681666684483</v>
      </c>
      <c r="BC124" s="42">
        <f>HLOOKUP(BC$116+50,Kostengegevens!$AK$74:$BN$135,Stappen!$AA124,FALSE)+BC67*($F$117-$F$118)/$F$124</f>
        <v>16.775541666672041</v>
      </c>
      <c r="BD124" s="42">
        <f>HLOOKUP(BD$116+50,Kostengegevens!$AK$74:$BN$135,Stappen!$AA124,FALSE)+BD67*($F$117-$F$118)/$F$124</f>
        <v>6.6011416666830556</v>
      </c>
      <c r="BE124" s="3"/>
      <c r="BG124" s="2">
        <v>3</v>
      </c>
      <c r="BH124" s="57">
        <v>9</v>
      </c>
      <c r="BI124" s="56">
        <f>BJ124</f>
        <v>124.76635514018692</v>
      </c>
      <c r="BJ124" s="56">
        <f>HLOOKUP(Stappen!BJ$116,Stappen!$BL$116:$BP$178,BH124,FALSE)*VLOOKUP($BG124,Stappen!$BH$24:$BJ$46,3,FALSE)</f>
        <v>124.76635514018692</v>
      </c>
      <c r="BK124" s="62" t="s">
        <v>22</v>
      </c>
      <c r="BL124" s="61">
        <f>Stappen!BL124</f>
        <v>0.90064794816414684</v>
      </c>
      <c r="BM124" s="61">
        <f>Stappen!BM124</f>
        <v>0.83177570093457942</v>
      </c>
      <c r="BN124" s="61">
        <f>Stappen!BN124</f>
        <v>0.90703517587939697</v>
      </c>
      <c r="BO124" s="61">
        <f>Stappen!BO124</f>
        <v>0.89833479404031547</v>
      </c>
      <c r="BP124" s="61">
        <f>Stappen!BP124</f>
        <v>0.90064794816414684</v>
      </c>
      <c r="BR124" s="56">
        <f>Stappen!BR124</f>
        <v>2</v>
      </c>
      <c r="BS124" s="56">
        <f>Stappen!BS124</f>
        <v>3</v>
      </c>
      <c r="BT124" s="56">
        <f>Stappen!BT124</f>
        <v>1</v>
      </c>
      <c r="BU124" s="56">
        <f>Stappen!BU124</f>
        <v>1</v>
      </c>
      <c r="BV124" s="56">
        <f>Stappen!BV124</f>
        <v>0</v>
      </c>
    </row>
    <row r="125" spans="1:74" x14ac:dyDescent="0.2">
      <c r="A125" s="113"/>
      <c r="B125" s="114">
        <v>27</v>
      </c>
      <c r="C125" s="236" t="s">
        <v>298</v>
      </c>
      <c r="D125" s="191"/>
      <c r="E125" s="161"/>
      <c r="F125" s="127">
        <f>BI125</f>
        <v>65.887850467289724</v>
      </c>
      <c r="G125" s="127"/>
      <c r="H125" s="133" t="s">
        <v>22</v>
      </c>
      <c r="I125" s="128"/>
      <c r="J125" s="134">
        <f t="shared" si="17"/>
        <v>3594.6227032785873</v>
      </c>
      <c r="K125" s="129">
        <f t="shared" si="11"/>
        <v>1030.354754675576</v>
      </c>
      <c r="L125" s="130">
        <f t="shared" si="12"/>
        <v>4485.8162780410357</v>
      </c>
      <c r="M125" s="131">
        <f t="shared" si="13"/>
        <v>35069.448621491778</v>
      </c>
      <c r="N125" s="129">
        <f t="shared" si="14"/>
        <v>1183.3662196267915</v>
      </c>
      <c r="O125" s="130">
        <f t="shared" si="15"/>
        <v>1105.3043808414757</v>
      </c>
      <c r="T125" s="91" t="str">
        <f>HLOOKUP(Z125,$U$116:$Y$183,AA125,FALSE)</f>
        <v>1 plat dak: constructie als bij vloeren</v>
      </c>
      <c r="U125" s="263" t="s">
        <v>143</v>
      </c>
      <c r="V125" s="263" t="s">
        <v>142</v>
      </c>
      <c r="W125" s="99" t="s">
        <v>350</v>
      </c>
      <c r="X125" s="99" t="s">
        <v>351</v>
      </c>
      <c r="Y125" s="263" t="s">
        <v>62</v>
      </c>
      <c r="Z125" s="2">
        <f>HLOOKUP(Z$116,$BR$116:$BV$183,BH125,FALSE)</f>
        <v>1</v>
      </c>
      <c r="AA125" s="35">
        <f t="shared" si="16"/>
        <v>10</v>
      </c>
      <c r="AB125" s="70">
        <f>HLOOKUP($Z124,AB116:AF124,9)</f>
        <v>54.556685000114726</v>
      </c>
      <c r="AC125" s="35">
        <f>HLOOKUP(AC$116,Kostengegevens!$AK$74:$BN$135,Stappen!$AA125,FALSE)</f>
        <v>31.212500000139698</v>
      </c>
      <c r="AD125" s="42">
        <f>HLOOKUP(AD$116,Kostengegevens!$AK$74:$BN$135,Stappen!$AA125,FALSE)+AD68</f>
        <v>133.64358287652931</v>
      </c>
      <c r="AE125" s="42">
        <f>HLOOKUP(AE$116,Kostengegevens!$AK$74:$BN$135,Stappen!$AA125,FALSE)+AE68</f>
        <v>98.913106874846562</v>
      </c>
      <c r="AF125" s="3"/>
      <c r="AG125" s="70">
        <f>HLOOKUP($Z124,AG116:AK124,9)</f>
        <v>15.638008333373989</v>
      </c>
      <c r="AH125" s="35">
        <f>HLOOKUP(AH$116+10,Kostengegevens!$AK$74:$BN$135,Stappen!$AA125,FALSE)</f>
        <v>7.2250000000058208</v>
      </c>
      <c r="AI125" s="42">
        <f>HLOOKUP(AI$116+10,Kostengegevens!$AK$74:$BN$135,Stappen!$AA125,FALSE)+AI68</f>
        <v>22.625142465789736</v>
      </c>
      <c r="AJ125" s="42">
        <f>HLOOKUP(AJ$116+10,Kostengegevens!$AK$74:$BN$135,Stappen!$AA125,FALSE)+AJ68</f>
        <v>22.468443125018879</v>
      </c>
      <c r="AK125" s="3"/>
      <c r="AL125" s="70">
        <f>HLOOKUP($Z124,AL116:AP124,9)</f>
        <v>68.082601666722098</v>
      </c>
      <c r="AM125" s="35">
        <f>HLOOKUP(AM$116+20,Kostengegevens!$AK$74:$BN$135,Stappen!$AA125,FALSE)</f>
        <v>19.79500000004191</v>
      </c>
      <c r="AN125" s="42">
        <f>HLOOKUP(AN$116+20,Kostengegevens!$AK$74:$BN$135,Stappen!$AA125,FALSE)+AN68</f>
        <v>69.830606164587721</v>
      </c>
      <c r="AO125" s="42">
        <f>HLOOKUP(AO$116+20,Kostengegevens!$AK$74:$BN$135,Stappen!$AA125,FALSE)+AO68</f>
        <v>75.242400624894799</v>
      </c>
      <c r="AP125" s="3"/>
      <c r="AQ125" s="70">
        <f>HLOOKUP($Z124,AQ116:AU124,9)</f>
        <v>532.2597166666128</v>
      </c>
      <c r="AR125" s="35">
        <f>HLOOKUP(AR$116+30,Kostengegevens!$AK$74:$BN$135,Stappen!$AA125,FALSE)</f>
        <v>291.55250000022352</v>
      </c>
      <c r="AS125" s="42">
        <f>HLOOKUP(AS$116+30,Kostengegevens!$AK$74:$BN$135,Stappen!$AA125,FALSE)+AS68</f>
        <v>1249.8165589040018</v>
      </c>
      <c r="AT125" s="42">
        <f>HLOOKUP(AT$116+30,Kostengegevens!$AK$74:$BN$135,Stappen!$AA125,FALSE)+AT68</f>
        <v>1124.1139224999938</v>
      </c>
      <c r="AU125" s="3"/>
      <c r="AV125" s="70">
        <f>HLOOKUP($Z124,AV116:AZ124,9)</f>
        <v>17.960310000009457</v>
      </c>
      <c r="AW125" s="35">
        <f>HLOOKUP(AW$116+40,Kostengegevens!$AK$74:$BN$135,Stappen!$AA125,FALSE)</f>
        <v>2.0174999999944703</v>
      </c>
      <c r="AX125" s="42">
        <f>HLOOKUP(AX$116+40,Kostengegevens!$AK$74:$BN$135,Stappen!$AA125,FALSE)+AX68</f>
        <v>9.0580178082295504</v>
      </c>
      <c r="AY125" s="42">
        <f>HLOOKUP(AY$116+40,Kostengegevens!$AK$74:$BN$135,Stappen!$AA125,FALSE)+AY68</f>
        <v>27.351071249997858</v>
      </c>
      <c r="AZ125" s="3"/>
      <c r="BA125" s="70">
        <f>HLOOKUP($Z124,BA116:BE124,9)</f>
        <v>16.775541666672041</v>
      </c>
      <c r="BB125" s="35">
        <f>HLOOKUP(BB$116+50,Kostengegevens!$AK$74:$BN$135,Stappen!$AA125,FALSE)</f>
        <v>1.8625000000029104</v>
      </c>
      <c r="BC125" s="42">
        <f>HLOOKUP(BC$116+50,Kostengegevens!$AK$74:$BN$135,Stappen!$AA125,FALSE)+BC68</f>
        <v>5.8490773973004195</v>
      </c>
      <c r="BD125" s="42">
        <f>HLOOKUP(BD$116+50,Kostengegevens!$AK$74:$BN$135,Stappen!$AA125,FALSE)+BD68</f>
        <v>10.085430625025765</v>
      </c>
      <c r="BE125" s="3"/>
      <c r="BG125" s="2">
        <v>3</v>
      </c>
      <c r="BH125" s="57">
        <v>10</v>
      </c>
      <c r="BI125" s="56">
        <f>BJ125</f>
        <v>65.887850467289724</v>
      </c>
      <c r="BJ125" s="56">
        <f>HLOOKUP(Stappen!BJ$116,Stappen!$BL$116:$BP$178,BH125,FALSE)*VLOOKUP($BG125,Stappen!$BH$24:$BJ$46,3,FALSE)</f>
        <v>65.887850467289724</v>
      </c>
      <c r="BK125" s="62" t="s">
        <v>22</v>
      </c>
      <c r="BL125" s="61">
        <f>Stappen!BL125</f>
        <v>0.4611231101511879</v>
      </c>
      <c r="BM125" s="61">
        <f>Stappen!BM125</f>
        <v>0.43925233644859812</v>
      </c>
      <c r="BN125" s="61">
        <f>Stappen!BN125</f>
        <v>0.7651006711409396</v>
      </c>
      <c r="BO125" s="61">
        <f>Stappen!BO125</f>
        <v>0.5118317265556529</v>
      </c>
      <c r="BP125" s="61">
        <f>Stappen!BP125</f>
        <v>0.4611231101511879</v>
      </c>
      <c r="BR125" s="56">
        <f>Stappen!BR125</f>
        <v>4</v>
      </c>
      <c r="BS125" s="56">
        <f>Stappen!BS125</f>
        <v>1</v>
      </c>
      <c r="BT125" s="56">
        <f>Stappen!BT125</f>
        <v>1</v>
      </c>
      <c r="BU125" s="56">
        <f>Stappen!BU125</f>
        <v>1</v>
      </c>
      <c r="BV125" s="56">
        <f>Stappen!BV125</f>
        <v>0</v>
      </c>
    </row>
    <row r="126" spans="1:74" x14ac:dyDescent="0.2">
      <c r="A126" s="113"/>
      <c r="B126" s="114">
        <v>28</v>
      </c>
      <c r="C126" s="236" t="s">
        <v>299</v>
      </c>
      <c r="D126" s="191"/>
      <c r="E126" s="161"/>
      <c r="F126" s="127">
        <f>BI126</f>
        <v>150</v>
      </c>
      <c r="G126" s="127"/>
      <c r="H126" s="133" t="s">
        <v>22</v>
      </c>
      <c r="I126" s="128"/>
      <c r="J126" s="134">
        <f t="shared" si="17"/>
        <v>3312.5331016573055</v>
      </c>
      <c r="K126" s="129">
        <f t="shared" si="11"/>
        <v>791.37664017832776</v>
      </c>
      <c r="L126" s="130">
        <f t="shared" si="12"/>
        <v>2170.2253576897192</v>
      </c>
      <c r="M126" s="131">
        <f t="shared" si="13"/>
        <v>31238.737125693158</v>
      </c>
      <c r="N126" s="129">
        <f t="shared" si="14"/>
        <v>258.6293871499322</v>
      </c>
      <c r="O126" s="130">
        <f t="shared" si="15"/>
        <v>204.75993991663302</v>
      </c>
      <c r="T126" s="91" t="str">
        <f>HLOOKUP(Z126,$U$116:$Y$183,AA126,FALSE)</f>
        <v>1 woningbouw</v>
      </c>
      <c r="U126" s="263" t="s">
        <v>68</v>
      </c>
      <c r="V126" s="263" t="s">
        <v>77</v>
      </c>
      <c r="W126" s="263" t="s">
        <v>144</v>
      </c>
      <c r="X126" s="263" t="s">
        <v>92</v>
      </c>
      <c r="Y126" s="263" t="s">
        <v>62</v>
      </c>
      <c r="Z126" s="2">
        <f>HLOOKUP(Z$116,$BR$116:$BV$183,BH126,FALSE)</f>
        <v>1</v>
      </c>
      <c r="AA126" s="35">
        <f t="shared" si="16"/>
        <v>11</v>
      </c>
      <c r="AB126" s="35">
        <f>HLOOKUP(AB$116,Kostengegevens!$AK$74:$BN$135,Stappen!$AA126,FALSE)</f>
        <v>22.083554011048705</v>
      </c>
      <c r="AC126" s="35">
        <f>HLOOKUP(AC$116,Kostengegevens!$AK$74:$BN$135,Stappen!$AA126,FALSE)</f>
        <v>78.907974999963756</v>
      </c>
      <c r="AD126" s="35">
        <f>HLOOKUP(AD$116,Kostengegevens!$AK$74:$BN$135,Stappen!$AA126,FALSE)</f>
        <v>82.041613212445441</v>
      </c>
      <c r="AE126" s="35">
        <f>HLOOKUP(AE$116,Kostengegevens!$AK$74:$BN$135,Stappen!$AA126,FALSE)</f>
        <v>79.915199999991955</v>
      </c>
      <c r="AF126" s="3"/>
      <c r="AG126" s="35">
        <f>HLOOKUP(AG$116+10,Kostengegevens!$AK$74:$BN$135,Stappen!$AA126,FALSE)</f>
        <v>5.2758442678555184</v>
      </c>
      <c r="AH126" s="35">
        <f>HLOOKUP(AH$116+10,Kostengegevens!$AK$74:$BN$135,Stappen!$AA126,FALSE)</f>
        <v>43.962175000005828</v>
      </c>
      <c r="AI126" s="35">
        <f>HLOOKUP(AI$116+10,Kostengegevens!$AK$74:$BN$135,Stappen!$AA126,FALSE)</f>
        <v>22.307756476683039</v>
      </c>
      <c r="AJ126" s="35">
        <f>HLOOKUP(AJ$116+10,Kostengegevens!$AK$74:$BN$135,Stappen!$AA126,FALSE)</f>
        <v>22.286709677422607</v>
      </c>
      <c r="AK126" s="3"/>
      <c r="AL126" s="35">
        <f>HLOOKUP(AL$116+20,Kostengegevens!$AK$74:$BN$135,Stappen!$AA126,FALSE)</f>
        <v>14.468169051264795</v>
      </c>
      <c r="AM126" s="35">
        <f>HLOOKUP(AM$116+20,Kostengegevens!$AK$74:$BN$135,Stappen!$AA126,FALSE)</f>
        <v>21.921425000017052</v>
      </c>
      <c r="AN126" s="35">
        <f>HLOOKUP(AN$116+20,Kostengegevens!$AK$74:$BN$135,Stappen!$AA126,FALSE)</f>
        <v>58.410942227971191</v>
      </c>
      <c r="AO126" s="35">
        <f>HLOOKUP(AO$116+20,Kostengegevens!$AK$74:$BN$135,Stappen!$AA126,FALSE)</f>
        <v>63.313703225799372</v>
      </c>
      <c r="AP126" s="3"/>
      <c r="AQ126" s="35">
        <f>HLOOKUP(AQ$116+30,Kostengegevens!$AK$74:$BN$135,Stappen!$AA126,FALSE)</f>
        <v>208.25824750462107</v>
      </c>
      <c r="AR126" s="35">
        <f>HLOOKUP(AR$116+30,Kostengegevens!$AK$74:$BN$135,Stappen!$AA126,FALSE)</f>
        <v>161.95459999965533</v>
      </c>
      <c r="AS126" s="35">
        <f>HLOOKUP(AS$116+30,Kostengegevens!$AK$74:$BN$135,Stappen!$AA126,FALSE)</f>
        <v>838.91298056985215</v>
      </c>
      <c r="AT126" s="35">
        <f>HLOOKUP(AT$116+30,Kostengegevens!$AK$74:$BN$135,Stappen!$AA126,FALSE)</f>
        <v>947.28464516124404</v>
      </c>
      <c r="AU126" s="3"/>
      <c r="AV126" s="35">
        <f>HLOOKUP(AV$116+40,Kostengegevens!$AK$74:$BN$135,Stappen!$AA126,FALSE)</f>
        <v>1.7241959143328813</v>
      </c>
      <c r="AW126" s="35">
        <f>HLOOKUP(AW$116+40,Kostengegevens!$AK$74:$BN$135,Stappen!$AA126,FALSE)</f>
        <v>1.5819000000034293</v>
      </c>
      <c r="AX126" s="35">
        <f>HLOOKUP(AX$116+40,Kostengegevens!$AK$74:$BN$135,Stappen!$AA126,FALSE)</f>
        <v>8.129826943005213</v>
      </c>
      <c r="AY126" s="35">
        <f>HLOOKUP(AY$116+40,Kostengegevens!$AK$74:$BN$135,Stappen!$AA126,FALSE)</f>
        <v>6.5413161290325945</v>
      </c>
      <c r="AZ126" s="3"/>
      <c r="BA126" s="35">
        <f>HLOOKUP(BA$116+50,Kostengegevens!$AK$74:$BN$135,Stappen!$AA126,FALSE)</f>
        <v>1.3650662661108868</v>
      </c>
      <c r="BB126" s="35">
        <f>HLOOKUP(BB$116+50,Kostengegevens!$AK$74:$BN$135,Stappen!$AA126,FALSE)</f>
        <v>7.1728499999977089</v>
      </c>
      <c r="BC126" s="35">
        <f>HLOOKUP(BC$116+50,Kostengegevens!$AK$74:$BN$135,Stappen!$AA126,FALSE)</f>
        <v>5.5469313471518262</v>
      </c>
      <c r="BD126" s="35">
        <f>HLOOKUP(BD$116+50,Kostengegevens!$AK$74:$BN$135,Stappen!$AA126,FALSE)</f>
        <v>6.2466580645169216</v>
      </c>
      <c r="BE126" s="3"/>
      <c r="BG126" s="2">
        <v>3</v>
      </c>
      <c r="BH126" s="57">
        <v>11</v>
      </c>
      <c r="BI126" s="56">
        <f>BJ126</f>
        <v>150</v>
      </c>
      <c r="BJ126" s="56">
        <f>HLOOKUP(Stappen!BJ$116,Stappen!$BL$116:$BP$178,BH126,FALSE)*VLOOKUP($BG126,Stappen!$BH$24:$BJ$46,3,FALSE)</f>
        <v>150</v>
      </c>
      <c r="BK126" s="62" t="s">
        <v>22</v>
      </c>
      <c r="BL126" s="61">
        <f>Stappen!BL126</f>
        <v>1</v>
      </c>
      <c r="BM126" s="61">
        <f>Stappen!BM126</f>
        <v>1</v>
      </c>
      <c r="BN126" s="61">
        <f>Stappen!BN126</f>
        <v>1</v>
      </c>
      <c r="BO126" s="61">
        <f>Stappen!BO126</f>
        <v>1</v>
      </c>
      <c r="BP126" s="61">
        <f>Stappen!BP126</f>
        <v>1</v>
      </c>
      <c r="BR126" s="56">
        <f>Stappen!BR126</f>
        <v>1</v>
      </c>
      <c r="BS126" s="56">
        <f>Stappen!BS126</f>
        <v>1</v>
      </c>
      <c r="BT126" s="56">
        <f>Stappen!BT126</f>
        <v>3</v>
      </c>
      <c r="BU126" s="56">
        <f>Stappen!BU126</f>
        <v>3</v>
      </c>
      <c r="BV126" s="56">
        <f>Stappen!BV126</f>
        <v>0</v>
      </c>
    </row>
    <row r="127" spans="1:74" x14ac:dyDescent="0.2">
      <c r="A127" s="120" t="s">
        <v>165</v>
      </c>
      <c r="B127" s="114"/>
      <c r="C127" s="235" t="s">
        <v>60</v>
      </c>
      <c r="D127" s="191"/>
      <c r="E127" s="161"/>
      <c r="F127" s="133"/>
      <c r="G127" s="133"/>
      <c r="H127" s="133"/>
      <c r="I127" s="128"/>
      <c r="J127" s="134"/>
      <c r="K127" s="129"/>
      <c r="L127" s="130"/>
      <c r="M127" s="131"/>
      <c r="N127" s="129"/>
      <c r="O127" s="130"/>
      <c r="P127" s="84"/>
      <c r="T127" s="91"/>
      <c r="U127" s="263"/>
      <c r="V127" s="263"/>
      <c r="W127" s="263"/>
      <c r="X127" s="263"/>
      <c r="Y127" s="263"/>
      <c r="AA127" s="35">
        <f t="shared" si="16"/>
        <v>12</v>
      </c>
      <c r="AB127" s="35">
        <f>HLOOKUP(AB$116,Kostengegevens!$AK$74:$BN$135,Stappen!$AA127,FALSE)</f>
        <v>0</v>
      </c>
      <c r="AC127" s="35">
        <f>HLOOKUP(AC$116,Kostengegevens!$AK$74:$BN$135,Stappen!$AA127,FALSE)</f>
        <v>0</v>
      </c>
      <c r="AD127" s="35">
        <f>HLOOKUP(AD$116,Kostengegevens!$AK$74:$BN$135,Stappen!$AA127,FALSE)</f>
        <v>0</v>
      </c>
      <c r="AE127" s="35">
        <f>HLOOKUP(AE$116,Kostengegevens!$AK$74:$BN$135,Stappen!$AA127,FALSE)</f>
        <v>0</v>
      </c>
      <c r="AF127" s="3"/>
      <c r="AG127" s="35">
        <f>HLOOKUP(AG$116+10,Kostengegevens!$AK$74:$BN$135,Stappen!$AA127,FALSE)</f>
        <v>0</v>
      </c>
      <c r="AH127" s="35">
        <f>HLOOKUP(AH$116+10,Kostengegevens!$AK$74:$BN$135,Stappen!$AA127,FALSE)</f>
        <v>0</v>
      </c>
      <c r="AI127" s="35">
        <f>HLOOKUP(AI$116+10,Kostengegevens!$AK$74:$BN$135,Stappen!$AA127,FALSE)</f>
        <v>0</v>
      </c>
      <c r="AJ127" s="35">
        <f>HLOOKUP(AJ$116+10,Kostengegevens!$AK$74:$BN$135,Stappen!$AA127,FALSE)</f>
        <v>0</v>
      </c>
      <c r="AK127" s="3"/>
      <c r="AL127" s="35">
        <f>HLOOKUP(AL$116+20,Kostengegevens!$AK$74:$BN$135,Stappen!$AA127,FALSE)</f>
        <v>0</v>
      </c>
      <c r="AM127" s="35">
        <f>HLOOKUP(AM$116+20,Kostengegevens!$AK$74:$BN$135,Stappen!$AA127,FALSE)</f>
        <v>0</v>
      </c>
      <c r="AN127" s="35">
        <f>HLOOKUP(AN$116+20,Kostengegevens!$AK$74:$BN$135,Stappen!$AA127,FALSE)</f>
        <v>0</v>
      </c>
      <c r="AO127" s="35">
        <f>HLOOKUP(AO$116+20,Kostengegevens!$AK$74:$BN$135,Stappen!$AA127,FALSE)</f>
        <v>0</v>
      </c>
      <c r="AP127" s="3"/>
      <c r="AQ127" s="35">
        <f>HLOOKUP(AQ$116+30,Kostengegevens!$AK$74:$BN$135,Stappen!$AA127,FALSE)</f>
        <v>0</v>
      </c>
      <c r="AR127" s="35">
        <f>HLOOKUP(AR$116+30,Kostengegevens!$AK$74:$BN$135,Stappen!$AA127,FALSE)</f>
        <v>0</v>
      </c>
      <c r="AS127" s="35">
        <f>HLOOKUP(AS$116+30,Kostengegevens!$AK$74:$BN$135,Stappen!$AA127,FALSE)</f>
        <v>0</v>
      </c>
      <c r="AT127" s="35">
        <f>HLOOKUP(AT$116+30,Kostengegevens!$AK$74:$BN$135,Stappen!$AA127,FALSE)</f>
        <v>0</v>
      </c>
      <c r="AU127" s="3"/>
      <c r="AV127" s="35">
        <f>HLOOKUP(AV$116+40,Kostengegevens!$AK$74:$BN$135,Stappen!$AA127,FALSE)</f>
        <v>0</v>
      </c>
      <c r="AW127" s="35">
        <f>HLOOKUP(AW$116+40,Kostengegevens!$AK$74:$BN$135,Stappen!$AA127,FALSE)</f>
        <v>0</v>
      </c>
      <c r="AX127" s="35">
        <f>HLOOKUP(AX$116+40,Kostengegevens!$AK$74:$BN$135,Stappen!$AA127,FALSE)</f>
        <v>0</v>
      </c>
      <c r="AY127" s="35">
        <f>HLOOKUP(AY$116+40,Kostengegevens!$AK$74:$BN$135,Stappen!$AA127,FALSE)</f>
        <v>0</v>
      </c>
      <c r="AZ127" s="3"/>
      <c r="BA127" s="35">
        <f>HLOOKUP(BA$116+50,Kostengegevens!$AK$74:$BN$135,Stappen!$AA127,FALSE)</f>
        <v>0</v>
      </c>
      <c r="BB127" s="35">
        <f>HLOOKUP(BB$116+50,Kostengegevens!$AK$74:$BN$135,Stappen!$AA127,FALSE)</f>
        <v>0</v>
      </c>
      <c r="BC127" s="35">
        <f>HLOOKUP(BC$116+50,Kostengegevens!$AK$74:$BN$135,Stappen!$AA127,FALSE)</f>
        <v>0</v>
      </c>
      <c r="BD127" s="35">
        <f>HLOOKUP(BD$116+50,Kostengegevens!$AK$74:$BN$135,Stappen!$AA127,FALSE)</f>
        <v>0</v>
      </c>
      <c r="BE127" s="3"/>
      <c r="BH127" s="57">
        <v>12</v>
      </c>
      <c r="BI127" s="56"/>
      <c r="BJ127" s="56"/>
      <c r="BK127" s="62"/>
      <c r="BL127" s="105"/>
      <c r="BM127" s="105"/>
      <c r="BN127" s="105"/>
      <c r="BO127" s="105"/>
      <c r="BP127" s="105"/>
      <c r="BR127" s="56"/>
      <c r="BS127" s="56"/>
      <c r="BT127" s="56"/>
      <c r="BU127" s="56"/>
      <c r="BV127" s="56"/>
    </row>
    <row r="128" spans="1:74" x14ac:dyDescent="0.2">
      <c r="A128" s="113"/>
      <c r="B128" s="114">
        <v>27</v>
      </c>
      <c r="C128" s="236" t="s">
        <v>300</v>
      </c>
      <c r="D128" s="191"/>
      <c r="E128" s="161"/>
      <c r="F128" s="127">
        <f>BI128</f>
        <v>60.280373831775698</v>
      </c>
      <c r="G128" s="127"/>
      <c r="H128" s="133" t="s">
        <v>22</v>
      </c>
      <c r="I128" s="128"/>
      <c r="J128" s="134">
        <f t="shared" si="17"/>
        <v>986.89910059757221</v>
      </c>
      <c r="K128" s="129">
        <f t="shared" si="11"/>
        <v>267.10304483585571</v>
      </c>
      <c r="L128" s="130">
        <f t="shared" si="12"/>
        <v>482.49749802172693</v>
      </c>
      <c r="M128" s="131">
        <f t="shared" si="13"/>
        <v>6831.7753688430494</v>
      </c>
      <c r="N128" s="129">
        <f t="shared" si="14"/>
        <v>155.88657373878308</v>
      </c>
      <c r="O128" s="130">
        <f t="shared" si="15"/>
        <v>162.07148195720436</v>
      </c>
      <c r="T128" s="91" t="str">
        <f>HLOOKUP(Z128,$U$116:$Y$183,AA128,FALSE)</f>
        <v>1 eenvoudige daktrimmen</v>
      </c>
      <c r="U128" s="263" t="s">
        <v>69</v>
      </c>
      <c r="V128" s="263" t="s">
        <v>78</v>
      </c>
      <c r="W128" s="263" t="s">
        <v>88</v>
      </c>
      <c r="X128" s="263" t="s">
        <v>93</v>
      </c>
      <c r="Y128" s="263" t="s">
        <v>62</v>
      </c>
      <c r="Z128" s="2">
        <f>HLOOKUP(Z$116,$BR$116:$BV$183,BH128,FALSE)</f>
        <v>1</v>
      </c>
      <c r="AA128" s="35">
        <f t="shared" si="16"/>
        <v>13</v>
      </c>
      <c r="AB128" s="35">
        <f>HLOOKUP(AB$116,Kostengegevens!$AK$74:$BN$135,Stappen!$AA128,FALSE)</f>
        <v>16.371814537044997</v>
      </c>
      <c r="AC128" s="35">
        <f>HLOOKUP(AC$116,Kostengegevens!$AK$74:$BN$135,Stappen!$AA128,FALSE)</f>
        <v>49.632269475316207</v>
      </c>
      <c r="AD128" s="35">
        <f>HLOOKUP(AD$116,Kostengegevens!$AK$74:$BN$135,Stappen!$AA128,FALSE)</f>
        <v>34.924653888903777</v>
      </c>
      <c r="AE128" s="35">
        <f>HLOOKUP(AE$116,Kostengegevens!$AK$74:$BN$135,Stappen!$AA128,FALSE)</f>
        <v>95.785105583369955</v>
      </c>
      <c r="AF128" s="3"/>
      <c r="AG128" s="35">
        <f>HLOOKUP(AG$116+10,Kostengegevens!$AK$74:$BN$135,Stappen!$AA128,FALSE)</f>
        <v>4.4310117515405523</v>
      </c>
      <c r="AH128" s="35">
        <f>HLOOKUP(AH$116+10,Kostengegevens!$AK$74:$BN$135,Stappen!$AA128,FALSE)</f>
        <v>12.064479128099379</v>
      </c>
      <c r="AI128" s="35">
        <f>HLOOKUP(AI$116+10,Kostengegevens!$AK$74:$BN$135,Stappen!$AA128,FALSE)</f>
        <v>6.7599490972168041</v>
      </c>
      <c r="AJ128" s="35">
        <f>HLOOKUP(AJ$116+10,Kostengegevens!$AK$74:$BN$135,Stappen!$AA128,FALSE)</f>
        <v>22.200523055568823</v>
      </c>
      <c r="AK128" s="3"/>
      <c r="AL128" s="35">
        <f>HLOOKUP(AL$116+20,Kostengegevens!$AK$74:$BN$135,Stappen!$AA128,FALSE)</f>
        <v>8.0042220602053931</v>
      </c>
      <c r="AM128" s="35">
        <f>HLOOKUP(AM$116+20,Kostengegevens!$AK$74:$BN$135,Stappen!$AA128,FALSE)</f>
        <v>32.215042237648959</v>
      </c>
      <c r="AN128" s="35">
        <f>HLOOKUP(AN$116+20,Kostengegevens!$AK$74:$BN$135,Stappen!$AA128,FALSE)</f>
        <v>19.35009520835365</v>
      </c>
      <c r="AO128" s="35">
        <f>HLOOKUP(AO$116+20,Kostengegevens!$AK$74:$BN$135,Stappen!$AA128,FALSE)</f>
        <v>67.014060444429447</v>
      </c>
      <c r="AP128" s="3"/>
      <c r="AQ128" s="35">
        <f>HLOOKUP(AQ$116+30,Kostengegevens!$AK$74:$BN$135,Stappen!$AA128,FALSE)</f>
        <v>113.33332782421803</v>
      </c>
      <c r="AR128" s="35">
        <f>HLOOKUP(AR$116+30,Kostengegevens!$AK$74:$BN$135,Stappen!$AA128,FALSE)</f>
        <v>246.3651990353037</v>
      </c>
      <c r="AS128" s="35">
        <f>HLOOKUP(AS$116+30,Kostengegevens!$AK$74:$BN$135,Stappen!$AA128,FALSE)</f>
        <v>166.27905513904443</v>
      </c>
      <c r="AT128" s="35">
        <f>HLOOKUP(AT$116+30,Kostengegevens!$AK$74:$BN$135,Stappen!$AA128,FALSE)</f>
        <v>430.0606681943309</v>
      </c>
      <c r="AU128" s="3"/>
      <c r="AV128" s="35">
        <f>HLOOKUP(AV$116+40,Kostengegevens!$AK$74:$BN$135,Stappen!$AA128,FALSE)</f>
        <v>2.5860253317906654</v>
      </c>
      <c r="AW128" s="35">
        <f>HLOOKUP(AW$116+40,Kostengegevens!$AK$74:$BN$135,Stappen!$AA128,FALSE)</f>
        <v>22.311674799382303</v>
      </c>
      <c r="AX128" s="35">
        <f>HLOOKUP(AX$116+40,Kostengegevens!$AK$74:$BN$135,Stappen!$AA128,FALSE)</f>
        <v>10.827737986110179</v>
      </c>
      <c r="AY128" s="35">
        <f>HLOOKUP(AY$116+40,Kostengegevens!$AK$74:$BN$135,Stappen!$AA128,FALSE)</f>
        <v>44.253120861108158</v>
      </c>
      <c r="AZ128" s="3"/>
      <c r="BA128" s="35">
        <f>HLOOKUP(BA$116+50,Kostengegevens!$AK$74:$BN$135,Stappen!$AA128,FALSE)</f>
        <v>2.6886276851815296</v>
      </c>
      <c r="BB128" s="35">
        <f>HLOOKUP(BB$116+50,Kostengegevens!$AK$74:$BN$135,Stappen!$AA128,FALSE)</f>
        <v>3.5503682685207423</v>
      </c>
      <c r="BC128" s="35">
        <f>HLOOKUP(BC$116+50,Kostengegevens!$AK$74:$BN$135,Stappen!$AA128,FALSE)</f>
        <v>2.6006161111143626</v>
      </c>
      <c r="BD128" s="35">
        <f>HLOOKUP(BD$116+50,Kostengegevens!$AK$74:$BN$135,Stappen!$AA128,FALSE)</f>
        <v>4.2764362222207382</v>
      </c>
      <c r="BE128" s="3"/>
      <c r="BG128" s="2">
        <v>4</v>
      </c>
      <c r="BH128" s="57">
        <v>13</v>
      </c>
      <c r="BI128" s="56">
        <f>BJ128</f>
        <v>60.280373831775698</v>
      </c>
      <c r="BJ128" s="56">
        <f>HLOOKUP(Stappen!BJ$116,Stappen!$BL$116:$BP$178,BH128,FALSE)*VLOOKUP($BG128,Stappen!$BH$24:$BJ$46,3,FALSE)</f>
        <v>60.280373831775698</v>
      </c>
      <c r="BK128" s="62" t="s">
        <v>22</v>
      </c>
      <c r="BL128" s="61">
        <f>Stappen!BL128</f>
        <v>0.97935779816513757</v>
      </c>
      <c r="BM128" s="61">
        <f>Stappen!BM128</f>
        <v>1</v>
      </c>
      <c r="BN128" s="61">
        <f>Stappen!BN128</f>
        <v>1</v>
      </c>
      <c r="BO128" s="61">
        <f>Stappen!BO128</f>
        <v>0.98878205128205132</v>
      </c>
      <c r="BP128" s="61">
        <f>Stappen!BP128</f>
        <v>0.97935779816513757</v>
      </c>
      <c r="BR128" s="56">
        <f>Stappen!BR128</f>
        <v>3</v>
      </c>
      <c r="BS128" s="56">
        <f>Stappen!BS128</f>
        <v>1</v>
      </c>
      <c r="BT128" s="56">
        <f>Stappen!BT128</f>
        <v>2</v>
      </c>
      <c r="BU128" s="56">
        <f>Stappen!BU128</f>
        <v>2</v>
      </c>
      <c r="BV128" s="56">
        <f>Stappen!BV128</f>
        <v>0</v>
      </c>
    </row>
    <row r="129" spans="1:74" x14ac:dyDescent="0.2">
      <c r="A129" s="113"/>
      <c r="B129" s="114">
        <v>37</v>
      </c>
      <c r="C129" s="236" t="s">
        <v>268</v>
      </c>
      <c r="D129" s="215"/>
      <c r="E129" s="161"/>
      <c r="F129" s="127">
        <f>BI129</f>
        <v>0.17523364485981308</v>
      </c>
      <c r="G129" s="127"/>
      <c r="H129" s="133" t="s">
        <v>22</v>
      </c>
      <c r="I129" s="128"/>
      <c r="J129" s="134">
        <f t="shared" si="17"/>
        <v>116.07273364486934</v>
      </c>
      <c r="K129" s="129">
        <f t="shared" si="11"/>
        <v>17.007213785051544</v>
      </c>
      <c r="L129" s="130">
        <f t="shared" si="12"/>
        <v>53.071857476640965</v>
      </c>
      <c r="M129" s="131">
        <f t="shared" si="13"/>
        <v>429.50721378481694</v>
      </c>
      <c r="N129" s="129">
        <f t="shared" si="14"/>
        <v>31.919404205601605</v>
      </c>
      <c r="O129" s="130">
        <f t="shared" si="15"/>
        <v>4.1245619158837705</v>
      </c>
      <c r="T129" s="91" t="str">
        <f>HLOOKUP(Z129,$U$116:$Y$183,AA129,FALSE)</f>
        <v>3 dakluiken</v>
      </c>
      <c r="U129" s="99" t="s">
        <v>70</v>
      </c>
      <c r="V129" s="99" t="s">
        <v>79</v>
      </c>
      <c r="W129" s="99" t="s">
        <v>89</v>
      </c>
      <c r="X129" s="99" t="s">
        <v>352</v>
      </c>
      <c r="Y129" s="263" t="s">
        <v>62</v>
      </c>
      <c r="Z129" s="2">
        <f>HLOOKUP(Z$116,$BR$116:$BV$183,BH129,FALSE)</f>
        <v>3</v>
      </c>
      <c r="AA129" s="35">
        <f t="shared" si="16"/>
        <v>14</v>
      </c>
      <c r="AB129" s="42">
        <f>HLOOKUP(AB$116,Kostengegevens!$AK$74:$BN$135,Stappen!$AA129,FALSE)+AB69</f>
        <v>475.98420000006456</v>
      </c>
      <c r="AC129" s="42">
        <f>HLOOKUP(AC$116,Kostengegevens!$AK$74:$BN$135,Stappen!$AA129,FALSE)+AC69</f>
        <v>720.37888888890541</v>
      </c>
      <c r="AD129" s="35">
        <f>HLOOKUP(AD$116,Kostengegevens!$AK$74:$BN$135,Stappen!$AA129,FALSE)</f>
        <v>662.38840000005439</v>
      </c>
      <c r="AE129" s="35">
        <f>HLOOKUP(AE$116,Kostengegevens!$AK$74:$BN$135,Stappen!$AA129,FALSE)</f>
        <v>0</v>
      </c>
      <c r="AF129" s="3"/>
      <c r="AG129" s="42">
        <f>HLOOKUP(AG$116+10,Kostengegevens!$AK$74:$BN$135,Stappen!$AA129,FALSE)+AG69</f>
        <v>110.06224999998813</v>
      </c>
      <c r="AH129" s="42">
        <f>HLOOKUP(AH$116+10,Kostengegevens!$AK$74:$BN$135,Stappen!$AA129,FALSE)+AH69</f>
        <v>163.33611111117841</v>
      </c>
      <c r="AI129" s="35">
        <f>HLOOKUP(AI$116+10,Kostengegevens!$AK$74:$BN$135,Stappen!$AA129,FALSE)</f>
        <v>97.054500000027474</v>
      </c>
      <c r="AJ129" s="35">
        <f>HLOOKUP(AJ$116+10,Kostengegevens!$AK$74:$BN$135,Stappen!$AA129,FALSE)</f>
        <v>0</v>
      </c>
      <c r="AK129" s="3"/>
      <c r="AL129" s="42">
        <f>HLOOKUP(AL$116+20,Kostengegevens!$AK$74:$BN$135,Stappen!$AA129,FALSE)+AL69</f>
        <v>359.48919999995269</v>
      </c>
      <c r="AM129" s="42">
        <f>HLOOKUP(AM$116+20,Kostengegevens!$AK$74:$BN$135,Stappen!$AA129,FALSE)+AM69</f>
        <v>414.01222222200067</v>
      </c>
      <c r="AN129" s="35">
        <f>HLOOKUP(AN$116+20,Kostengegevens!$AK$74:$BN$135,Stappen!$AA129,FALSE)</f>
        <v>302.86340000003111</v>
      </c>
      <c r="AO129" s="35">
        <f>HLOOKUP(AO$116+20,Kostengegevens!$AK$74:$BN$135,Stappen!$AA129,FALSE)</f>
        <v>0</v>
      </c>
      <c r="AP129" s="3"/>
      <c r="AQ129" s="42">
        <f>HLOOKUP(AQ$116+30,Kostengegevens!$AK$74:$BN$135,Stappen!$AA129,FALSE)+AQ69</f>
        <v>4694.2072500009081</v>
      </c>
      <c r="AR129" s="42">
        <f>HLOOKUP(AR$116+30,Kostengegevens!$AK$74:$BN$135,Stappen!$AA129,FALSE)+AR69</f>
        <v>3367.7861111093735</v>
      </c>
      <c r="AS129" s="35">
        <f>HLOOKUP(AS$116+30,Kostengegevens!$AK$74:$BN$135,Stappen!$AA129,FALSE)</f>
        <v>2451.0544999986887</v>
      </c>
      <c r="AT129" s="35">
        <f>HLOOKUP(AT$116+30,Kostengegevens!$AK$74:$BN$135,Stappen!$AA129,FALSE)</f>
        <v>0</v>
      </c>
      <c r="AU129" s="3"/>
      <c r="AV129" s="42">
        <f>HLOOKUP(AV$116+40,Kostengegevens!$AK$74:$BN$135,Stappen!$AA129,FALSE)+AV69</f>
        <v>113.10919999999169</v>
      </c>
      <c r="AW129" s="42">
        <f>HLOOKUP(AW$116+40,Kostengegevens!$AK$74:$BN$135,Stappen!$AA129,FALSE)+AW69</f>
        <v>222.65111111110954</v>
      </c>
      <c r="AX129" s="35">
        <f>HLOOKUP(AX$116+40,Kostengegevens!$AK$74:$BN$135,Stappen!$AA129,FALSE)</f>
        <v>182.1533999999665</v>
      </c>
      <c r="AY129" s="35">
        <f>HLOOKUP(AY$116+40,Kostengegevens!$AK$74:$BN$135,Stappen!$AA129,FALSE)</f>
        <v>0</v>
      </c>
      <c r="AZ129" s="3"/>
      <c r="BA129" s="42">
        <f>HLOOKUP(BA$116+50,Kostengegevens!$AK$74:$BN$135,Stappen!$AA129,FALSE)+BA69</f>
        <v>41.0625</v>
      </c>
      <c r="BB129" s="42">
        <f>HLOOKUP(BB$116+50,Kostengegevens!$AK$74:$BN$135,Stappen!$AA129,FALSE)+BB69</f>
        <v>32.56597222223516</v>
      </c>
      <c r="BC129" s="35">
        <f>HLOOKUP(BC$116+50,Kostengegevens!$AK$74:$BN$135,Stappen!$AA129,FALSE)</f>
        <v>23.537499999976717</v>
      </c>
      <c r="BD129" s="35">
        <f>HLOOKUP(BD$116+50,Kostengegevens!$AK$74:$BN$135,Stappen!$AA129,FALSE)</f>
        <v>0</v>
      </c>
      <c r="BE129" s="3"/>
      <c r="BG129" s="2">
        <v>4</v>
      </c>
      <c r="BH129" s="57">
        <v>14</v>
      </c>
      <c r="BI129" s="56">
        <f>BJ129</f>
        <v>0.17523364485981308</v>
      </c>
      <c r="BJ129" s="56">
        <f>HLOOKUP(Stappen!BJ$116,Stappen!$BL$116:$BP$178,BH129,FALSE)*VLOOKUP($BG129,Stappen!$BH$24:$BJ$46,3,FALSE)</f>
        <v>0.17523364485981308</v>
      </c>
      <c r="BK129" s="62" t="s">
        <v>22</v>
      </c>
      <c r="BL129" s="61">
        <f>Stappen!BL129</f>
        <v>2.0642201834862386E-2</v>
      </c>
      <c r="BM129" s="61">
        <f>Stappen!BM129</f>
        <v>2.9069767441860465E-3</v>
      </c>
      <c r="BN129" s="61">
        <f>Stappen!BN129</f>
        <v>3.7735849056603774E-3</v>
      </c>
      <c r="BO129" s="61">
        <f>Stappen!BO129</f>
        <v>1.1217948717948718E-2</v>
      </c>
      <c r="BP129" s="61">
        <f>Stappen!BP129</f>
        <v>2.0642201834862386E-2</v>
      </c>
      <c r="BR129" s="56">
        <f>Stappen!BR129</f>
        <v>2</v>
      </c>
      <c r="BS129" s="56">
        <f>Stappen!BS129</f>
        <v>3</v>
      </c>
      <c r="BT129" s="56">
        <f>Stappen!BT129</f>
        <v>3</v>
      </c>
      <c r="BU129" s="56">
        <f>Stappen!BU129</f>
        <v>3</v>
      </c>
      <c r="BV129" s="56">
        <f>Stappen!BV129</f>
        <v>0</v>
      </c>
    </row>
    <row r="130" spans="1:74" x14ac:dyDescent="0.2">
      <c r="A130" s="113"/>
      <c r="B130" s="114">
        <v>47</v>
      </c>
      <c r="C130" s="236" t="s">
        <v>301</v>
      </c>
      <c r="D130" s="191"/>
      <c r="E130" s="161"/>
      <c r="F130" s="127">
        <f>BI130</f>
        <v>60.280373831775698</v>
      </c>
      <c r="G130" s="127"/>
      <c r="H130" s="133" t="s">
        <v>22</v>
      </c>
      <c r="I130" s="128"/>
      <c r="J130" s="134">
        <f t="shared" si="17"/>
        <v>3239.4672897359096</v>
      </c>
      <c r="K130" s="129">
        <f t="shared" si="11"/>
        <v>773.2464953219793</v>
      </c>
      <c r="L130" s="130">
        <f t="shared" si="12"/>
        <v>1721.0046728824593</v>
      </c>
      <c r="M130" s="131">
        <f t="shared" si="13"/>
        <v>43840.107476473808</v>
      </c>
      <c r="N130" s="129">
        <f t="shared" si="14"/>
        <v>188.97897196256486</v>
      </c>
      <c r="O130" s="130">
        <f t="shared" si="15"/>
        <v>405.76226635864828</v>
      </c>
      <c r="T130" s="91" t="str">
        <f>HLOOKUP(Z130,$U$116:$Y$183,AA130,FALSE)</f>
        <v>1 eps isolatie, kunststof bedekking</v>
      </c>
      <c r="U130" s="99" t="s">
        <v>71</v>
      </c>
      <c r="V130" s="99" t="s">
        <v>80</v>
      </c>
      <c r="W130" s="263" t="s">
        <v>90</v>
      </c>
      <c r="X130" s="99" t="s">
        <v>94</v>
      </c>
      <c r="Y130" s="263" t="s">
        <v>62</v>
      </c>
      <c r="Z130" s="2">
        <f>HLOOKUP(Z$116,$BR$116:$BV$183,BH130,FALSE)</f>
        <v>1</v>
      </c>
      <c r="AA130" s="35">
        <f t="shared" si="16"/>
        <v>15</v>
      </c>
      <c r="AB130" s="42">
        <f>HLOOKUP(AB$116,Kostengegevens!$AK$74:$BN$135,Stappen!$AA130,FALSE)+AB70</f>
        <v>53.740000000270129</v>
      </c>
      <c r="AC130" s="42">
        <f>HLOOKUP(AC$116,Kostengegevens!$AK$74:$BN$135,Stappen!$AA130,FALSE)+AC70</f>
        <v>65.005000000167684</v>
      </c>
      <c r="AD130" s="35">
        <f>HLOOKUP(AD$116,Kostengegevens!$AK$74:$BN$135,Stappen!$AA130,FALSE)</f>
        <v>48.976261247862112</v>
      </c>
      <c r="AE130" s="42">
        <f>HLOOKUP(AE$116,Kostengegevens!$AK$74:$BN$135,Stappen!$AA130,FALSE)+AE70</f>
        <v>192.03981666695586</v>
      </c>
      <c r="AF130" s="3"/>
      <c r="AG130" s="42">
        <f>HLOOKUP(AG$116+10,Kostengegevens!$AK$74:$BN$135,Stappen!$AA130,FALSE)+AG70</f>
        <v>12.827499999915005</v>
      </c>
      <c r="AH130" s="42">
        <f>HLOOKUP(AH$116+10,Kostengegevens!$AK$74:$BN$135,Stappen!$AA130,FALSE)+AH70</f>
        <v>6.4825000000011528</v>
      </c>
      <c r="AI130" s="35">
        <f>HLOOKUP(AI$116+10,Kostengegevens!$AK$74:$BN$135,Stappen!$AA130,FALSE)</f>
        <v>4.9436174400099162</v>
      </c>
      <c r="AJ130" s="42">
        <f>HLOOKUP(AJ$116+10,Kostengegevens!$AK$74:$BN$135,Stappen!$AA130,FALSE)+AJ70</f>
        <v>15.379649999989311</v>
      </c>
      <c r="AK130" s="35"/>
      <c r="AL130" s="42">
        <f>HLOOKUP(AL$116+20,Kostengegevens!$AK$74:$BN$135,Stappen!$AA130,FALSE)+AL70</f>
        <v>28.549999999755528</v>
      </c>
      <c r="AM130" s="42">
        <f>HLOOKUP(AM$116+20,Kostengegevens!$AK$74:$BN$135,Stappen!$AA130,FALSE)+AM70</f>
        <v>18.034999999625143</v>
      </c>
      <c r="AN130" s="35">
        <f>HLOOKUP(AN$116+20,Kostengegevens!$AK$74:$BN$135,Stappen!$AA130,FALSE)</f>
        <v>29.999825248245997</v>
      </c>
      <c r="AO130" s="42">
        <f>HLOOKUP(AO$116+20,Kostengegevens!$AK$74:$BN$135,Stappen!$AA130,FALSE)+AO70</f>
        <v>43.293983333317215</v>
      </c>
      <c r="AP130" s="35"/>
      <c r="AQ130" s="42">
        <f>HLOOKUP(AQ$116+30,Kostengegevens!$AK$74:$BN$135,Stappen!$AA130,FALSE)+AQ70</f>
        <v>727.26999999731743</v>
      </c>
      <c r="AR130" s="42">
        <f>HLOOKUP(AR$116+30,Kostengegevens!$AK$74:$BN$135,Stappen!$AA130,FALSE)+AR70</f>
        <v>499.95999999679589</v>
      </c>
      <c r="AS130" s="35">
        <f>HLOOKUP(AS$116+30,Kostengegevens!$AK$74:$BN$135,Stappen!$AA130,FALSE)</f>
        <v>148.95462843833047</v>
      </c>
      <c r="AT130" s="42">
        <f>HLOOKUP(AT$116+30,Kostengegevens!$AK$74:$BN$135,Stappen!$AA130,FALSE)+AT70</f>
        <v>783.76385000103801</v>
      </c>
      <c r="AU130" s="35"/>
      <c r="AV130" s="42">
        <f>HLOOKUP(AV$116+40,Kostengegevens!$AK$74:$BN$135,Stappen!$AA130,FALSE)+AV70</f>
        <v>3.1349999999991383</v>
      </c>
      <c r="AW130" s="42">
        <f>HLOOKUP(AW$116+40,Kostengegevens!$AK$74:$BN$135,Stappen!$AA130,FALSE)+AW70</f>
        <v>1.8699999999706165</v>
      </c>
      <c r="AX130" s="35">
        <f>HLOOKUP(AX$116+40,Kostengegevens!$AK$74:$BN$135,Stappen!$AA130,FALSE)</f>
        <v>18.603136248010458</v>
      </c>
      <c r="AY130" s="42">
        <f>HLOOKUP(AY$116+40,Kostengegevens!$AK$74:$BN$135,Stappen!$AA130,FALSE)+AY70</f>
        <v>7.3251166666623817</v>
      </c>
      <c r="AZ130" s="35"/>
      <c r="BA130" s="42">
        <f>HLOOKUP(BA$116+50,Kostengegevens!$AK$74:$BN$135,Stappen!$AA130,FALSE)+BA70</f>
        <v>6.7312500000581963</v>
      </c>
      <c r="BB130" s="42">
        <f>HLOOKUP(BB$116+50,Kostengegevens!$AK$74:$BN$135,Stappen!$AA130,FALSE)+BB70</f>
        <v>1.7662500000325849</v>
      </c>
      <c r="BC130" s="35">
        <f>HLOOKUP(BC$116+50,Kostengegevens!$AK$74:$BN$135,Stappen!$AA130,FALSE)</f>
        <v>2.7443219999978226</v>
      </c>
      <c r="BD130" s="42">
        <f>HLOOKUP(BD$116+50,Kostengegevens!$AK$74:$BN$135,Stappen!$AA130,FALSE)+BD70</f>
        <v>3.3576333333634665</v>
      </c>
      <c r="BE130" s="35"/>
      <c r="BG130" s="2">
        <v>4</v>
      </c>
      <c r="BH130" s="57">
        <v>15</v>
      </c>
      <c r="BI130" s="56">
        <f>BJ130</f>
        <v>60.280373831775698</v>
      </c>
      <c r="BJ130" s="56">
        <f>HLOOKUP(Stappen!BJ$116,Stappen!$BL$116:$BP$178,BH130,FALSE)*VLOOKUP($BG130,Stappen!$BH$24:$BJ$46,3,FALSE)</f>
        <v>60.280373831775698</v>
      </c>
      <c r="BK130" s="62" t="s">
        <v>22</v>
      </c>
      <c r="BL130" s="61">
        <f>Stappen!BL130</f>
        <v>0.97935779816513757</v>
      </c>
      <c r="BM130" s="61">
        <f>Stappen!BM130</f>
        <v>1</v>
      </c>
      <c r="BN130" s="61">
        <f>Stappen!BN130</f>
        <v>1</v>
      </c>
      <c r="BO130" s="61">
        <f>Stappen!BO130</f>
        <v>0.98878205128205132</v>
      </c>
      <c r="BP130" s="61">
        <f>Stappen!BP130</f>
        <v>0.97935779816513757</v>
      </c>
      <c r="BR130" s="56">
        <f>Stappen!BR130</f>
        <v>3</v>
      </c>
      <c r="BS130" s="56">
        <f>Stappen!BS130</f>
        <v>1</v>
      </c>
      <c r="BT130" s="56">
        <f>Stappen!BT130</f>
        <v>1</v>
      </c>
      <c r="BU130" s="56">
        <f>Stappen!BU130</f>
        <v>1</v>
      </c>
      <c r="BV130" s="56">
        <f>Stappen!BV130</f>
        <v>0</v>
      </c>
    </row>
    <row r="131" spans="1:74" x14ac:dyDescent="0.2">
      <c r="A131" s="120" t="s">
        <v>166</v>
      </c>
      <c r="B131" s="114"/>
      <c r="C131" s="235" t="s">
        <v>53</v>
      </c>
      <c r="D131" s="215"/>
      <c r="E131" s="161"/>
      <c r="F131" s="133"/>
      <c r="G131" s="133"/>
      <c r="H131" s="133"/>
      <c r="I131" s="128"/>
      <c r="J131" s="134"/>
      <c r="K131" s="129"/>
      <c r="L131" s="130"/>
      <c r="M131" s="131"/>
      <c r="N131" s="129"/>
      <c r="O131" s="130"/>
      <c r="P131" s="84"/>
      <c r="T131" s="91"/>
      <c r="U131" s="263"/>
      <c r="V131" s="263"/>
      <c r="W131" s="263"/>
      <c r="X131" s="263"/>
      <c r="Y131" s="263"/>
      <c r="AA131" s="35">
        <f t="shared" si="16"/>
        <v>16</v>
      </c>
      <c r="AB131" s="35">
        <f>HLOOKUP(AB$116,Kostengegevens!$AK$74:$BN$135,Stappen!$AA131,FALSE)</f>
        <v>0</v>
      </c>
      <c r="AC131" s="35">
        <f>HLOOKUP(AC$116,Kostengegevens!$AK$74:$BN$135,Stappen!$AA131,FALSE)</f>
        <v>0</v>
      </c>
      <c r="AD131" s="35">
        <f>HLOOKUP(AD$116,Kostengegevens!$AK$74:$BN$135,Stappen!$AA131,FALSE)</f>
        <v>0</v>
      </c>
      <c r="AE131" s="35">
        <f>HLOOKUP(AE$116,Kostengegevens!$AK$74:$BN$135,Stappen!$AA131,FALSE)</f>
        <v>0</v>
      </c>
      <c r="AF131" s="3"/>
      <c r="AG131" s="35">
        <f>HLOOKUP(AG$116+10,Kostengegevens!$AK$74:$BN$135,Stappen!$AA131,FALSE)</f>
        <v>0</v>
      </c>
      <c r="AH131" s="35">
        <f>HLOOKUP(AH$116+10,Kostengegevens!$AK$74:$BN$135,Stappen!$AA131,FALSE)</f>
        <v>0</v>
      </c>
      <c r="AI131" s="35">
        <f>HLOOKUP(AI$116+10,Kostengegevens!$AK$74:$BN$135,Stappen!$AA131,FALSE)</f>
        <v>0</v>
      </c>
      <c r="AJ131" s="35">
        <f>HLOOKUP(AJ$116+10,Kostengegevens!$AK$74:$BN$135,Stappen!$AA131,FALSE)</f>
        <v>0</v>
      </c>
      <c r="AK131" s="3"/>
      <c r="AL131" s="35">
        <f>HLOOKUP(AL$116+20,Kostengegevens!$AK$74:$BN$135,Stappen!$AA131,FALSE)</f>
        <v>0</v>
      </c>
      <c r="AM131" s="35">
        <f>HLOOKUP(AM$116+20,Kostengegevens!$AK$74:$BN$135,Stappen!$AA131,FALSE)</f>
        <v>0</v>
      </c>
      <c r="AN131" s="35">
        <f>HLOOKUP(AN$116+20,Kostengegevens!$AK$74:$BN$135,Stappen!$AA131,FALSE)</f>
        <v>0</v>
      </c>
      <c r="AO131" s="35">
        <f>HLOOKUP(AO$116+20,Kostengegevens!$AK$74:$BN$135,Stappen!$AA131,FALSE)</f>
        <v>0</v>
      </c>
      <c r="AP131" s="3"/>
      <c r="AQ131" s="35">
        <f>HLOOKUP(AQ$116+30,Kostengegevens!$AK$74:$BN$135,Stappen!$AA131,FALSE)</f>
        <v>0</v>
      </c>
      <c r="AR131" s="35">
        <f>HLOOKUP(AR$116+30,Kostengegevens!$AK$74:$BN$135,Stappen!$AA131,FALSE)</f>
        <v>0</v>
      </c>
      <c r="AS131" s="35">
        <f>HLOOKUP(AS$116+30,Kostengegevens!$AK$74:$BN$135,Stappen!$AA131,FALSE)</f>
        <v>0</v>
      </c>
      <c r="AT131" s="35">
        <f>HLOOKUP(AT$116+30,Kostengegevens!$AK$74:$BN$135,Stappen!$AA131,FALSE)</f>
        <v>0</v>
      </c>
      <c r="AU131" s="3"/>
      <c r="AV131" s="35">
        <f>HLOOKUP(AV$116+40,Kostengegevens!$AK$74:$BN$135,Stappen!$AA131,FALSE)</f>
        <v>0</v>
      </c>
      <c r="AW131" s="35">
        <f>HLOOKUP(AW$116+40,Kostengegevens!$AK$74:$BN$135,Stappen!$AA131,FALSE)</f>
        <v>0</v>
      </c>
      <c r="AX131" s="35">
        <f>HLOOKUP(AX$116+40,Kostengegevens!$AK$74:$BN$135,Stappen!$AA131,FALSE)</f>
        <v>0</v>
      </c>
      <c r="AY131" s="35">
        <f>HLOOKUP(AY$116+40,Kostengegevens!$AK$74:$BN$135,Stappen!$AA131,FALSE)</f>
        <v>0</v>
      </c>
      <c r="AZ131" s="3"/>
      <c r="BA131" s="35">
        <f>HLOOKUP(BA$116+50,Kostengegevens!$AK$74:$BN$135,Stappen!$AA131,FALSE)</f>
        <v>0</v>
      </c>
      <c r="BB131" s="35">
        <f>HLOOKUP(BB$116+50,Kostengegevens!$AK$74:$BN$135,Stappen!$AA131,FALSE)</f>
        <v>0</v>
      </c>
      <c r="BC131" s="35">
        <f>HLOOKUP(BC$116+50,Kostengegevens!$AK$74:$BN$135,Stappen!$AA131,FALSE)</f>
        <v>0</v>
      </c>
      <c r="BD131" s="35">
        <f>HLOOKUP(BD$116+50,Kostengegevens!$AK$74:$BN$135,Stappen!$AA131,FALSE)</f>
        <v>0</v>
      </c>
      <c r="BE131" s="3"/>
      <c r="BH131" s="57">
        <v>16</v>
      </c>
      <c r="BI131" s="56"/>
      <c r="BJ131" s="56"/>
      <c r="BK131" s="62"/>
      <c r="BL131" s="61"/>
      <c r="BM131" s="61"/>
      <c r="BN131" s="61"/>
      <c r="BO131" s="61"/>
      <c r="BP131" s="61"/>
      <c r="BR131" s="56"/>
      <c r="BS131" s="56"/>
      <c r="BT131" s="56"/>
      <c r="BU131" s="56"/>
      <c r="BV131" s="56"/>
    </row>
    <row r="132" spans="1:74" x14ac:dyDescent="0.2">
      <c r="A132" s="113"/>
      <c r="B132" s="114">
        <v>21</v>
      </c>
      <c r="C132" s="236" t="s">
        <v>420</v>
      </c>
      <c r="D132" s="191"/>
      <c r="E132" s="161"/>
      <c r="F132" s="127">
        <f>BI132</f>
        <v>84.112149532710276</v>
      </c>
      <c r="G132" s="127"/>
      <c r="H132" s="133" t="s">
        <v>22</v>
      </c>
      <c r="I132" s="128"/>
      <c r="J132" s="134">
        <f t="shared" si="17"/>
        <v>10839.953271008453</v>
      </c>
      <c r="K132" s="129">
        <f t="shared" si="11"/>
        <v>1795.1467289740012</v>
      </c>
      <c r="L132" s="130">
        <f t="shared" si="12"/>
        <v>8536.9710280315194</v>
      </c>
      <c r="M132" s="131">
        <f t="shared" si="13"/>
        <v>103133.994392457</v>
      </c>
      <c r="N132" s="129">
        <f t="shared" si="14"/>
        <v>3143.0060747663597</v>
      </c>
      <c r="O132" s="130">
        <f t="shared" si="15"/>
        <v>544.50841121964163</v>
      </c>
      <c r="T132" s="91" t="str">
        <f>HLOOKUP(Z132,$U$116:$Y$183,AA132,FALSE)</f>
        <v>1 baksteen (met isolatie)</v>
      </c>
      <c r="U132" s="99" t="s">
        <v>72</v>
      </c>
      <c r="V132" s="99" t="s">
        <v>81</v>
      </c>
      <c r="W132" s="99" t="s">
        <v>353</v>
      </c>
      <c r="X132" s="99" t="s">
        <v>137</v>
      </c>
      <c r="Y132" s="263" t="s">
        <v>62</v>
      </c>
      <c r="Z132" s="2">
        <f>HLOOKUP(Z$116,$BR$116:$BV$183,BH132,FALSE)</f>
        <v>1</v>
      </c>
      <c r="AA132" s="35">
        <f t="shared" si="16"/>
        <v>17</v>
      </c>
      <c r="AB132" s="42">
        <f>HLOOKUP(AB$116,Kostengegevens!$AK$74:$BN$135,Stappen!$AA132,FALSE)+AB71</f>
        <v>128.87499999976717</v>
      </c>
      <c r="AC132" s="42">
        <f>HLOOKUP(AC$116,Kostengegevens!$AK$74:$BN$135,Stappen!$AA132,FALSE)+AC71</f>
        <v>125.53300000005402</v>
      </c>
      <c r="AD132" s="42">
        <f>HLOOKUP(AD$116,Kostengegevens!$AK$74:$BN$135,Stappen!$AA132,FALSE)+AD71</f>
        <v>103.53260000026785</v>
      </c>
      <c r="AE132" s="42">
        <f>HLOOKUP(AE$116,Kostengegevens!$AK$74:$BN$135,Stappen!$AA132,FALSE)+AE71</f>
        <v>52.50323999999091</v>
      </c>
      <c r="AF132" s="3"/>
      <c r="AG132" s="42">
        <f>HLOOKUP(AG$116+10,Kostengegevens!$AK$74:$BN$135,Stappen!$AA132,FALSE)+AG71</f>
        <v>21.342300000024238</v>
      </c>
      <c r="AH132" s="42">
        <f>HLOOKUP(AH$116+10,Kostengegevens!$AK$74:$BN$135,Stappen!$AA132,FALSE)+AH71</f>
        <v>22.102499999979045</v>
      </c>
      <c r="AI132" s="42">
        <f>HLOOKUP(AI$116+10,Kostengegevens!$AK$74:$BN$135,Stappen!$AA132,FALSE)+AI71</f>
        <v>16.710500000044703</v>
      </c>
      <c r="AJ132" s="42">
        <f>HLOOKUP(AJ$116+10,Kostengegevens!$AK$74:$BN$135,Stappen!$AA132,FALSE)+AJ71</f>
        <v>6.6126999999396503</v>
      </c>
      <c r="AK132" s="35"/>
      <c r="AL132" s="42">
        <f>HLOOKUP(AL$116+20,Kostengegevens!$AK$74:$BN$135,Stappen!$AA132,FALSE)+AL71</f>
        <v>101.49509999993029</v>
      </c>
      <c r="AM132" s="42">
        <f>HLOOKUP(AM$116+20,Kostengegevens!$AK$74:$BN$135,Stappen!$AA132,FALSE)+AM71</f>
        <v>62.763000000151806</v>
      </c>
      <c r="AN132" s="42">
        <f>HLOOKUP(AN$116+20,Kostengegevens!$AK$74:$BN$135,Stappen!$AA132,FALSE)+AN71</f>
        <v>47.762599999899976</v>
      </c>
      <c r="AO132" s="42">
        <f>HLOOKUP(AO$116+20,Kostengegevens!$AK$74:$BN$135,Stappen!$AA132,FALSE)+AO71</f>
        <v>39.555240000016056</v>
      </c>
      <c r="AP132" s="35"/>
      <c r="AQ132" s="42">
        <f>HLOOKUP(AQ$116+30,Kostengegevens!$AK$74:$BN$135,Stappen!$AA132,FALSE)+AQ71</f>
        <v>1226.148599999211</v>
      </c>
      <c r="AR132" s="42">
        <f>HLOOKUP(AR$116+30,Kostengegevens!$AK$74:$BN$135,Stappen!$AA132,FALSE)+AR71</f>
        <v>1060.5025000032037</v>
      </c>
      <c r="AS132" s="42">
        <f>HLOOKUP(AS$116+30,Kostengegevens!$AK$74:$BN$135,Stappen!$AA132,FALSE)+AS71</f>
        <v>662.77549999766052</v>
      </c>
      <c r="AT132" s="42">
        <f>HLOOKUP(AT$116+30,Kostengegevens!$AK$74:$BN$135,Stappen!$AA132,FALSE)+AT71</f>
        <v>174.18769999966025</v>
      </c>
      <c r="AU132" s="35"/>
      <c r="AV132" s="42">
        <f>HLOOKUP(AV$116+40,Kostengegevens!$AK$74:$BN$135,Stappen!$AA132,FALSE)+AV71</f>
        <v>37.366850000000056</v>
      </c>
      <c r="AW132" s="42">
        <f>HLOOKUP(AW$116+40,Kostengegevens!$AK$74:$BN$135,Stappen!$AA132,FALSE)+AW71</f>
        <v>18.018000000025495</v>
      </c>
      <c r="AX132" s="42">
        <f>HLOOKUP(AX$116+40,Kostengegevens!$AK$74:$BN$135,Stappen!$AA132,FALSE)+AX71</f>
        <v>10.662599999996019</v>
      </c>
      <c r="AY132" s="42">
        <f>HLOOKUP(AY$116+40,Kostengegevens!$AK$74:$BN$135,Stappen!$AA132,FALSE)+AY71</f>
        <v>29.575239999991027</v>
      </c>
      <c r="AZ132" s="35"/>
      <c r="BA132" s="42">
        <f>HLOOKUP(BA$116+50,Kostengegevens!$AK$74:$BN$135,Stappen!$AA132,FALSE)+BA71</f>
        <v>6.4736000000557397</v>
      </c>
      <c r="BB132" s="42">
        <f>HLOOKUP(BB$116+50,Kostengegevens!$AK$74:$BN$135,Stappen!$AA132,FALSE)+BB71</f>
        <v>9.8100000000267755</v>
      </c>
      <c r="BC132" s="42">
        <f>HLOOKUP(BC$116+50,Kostengegevens!$AK$74:$BN$135,Stappen!$AA132,FALSE)+BC71</f>
        <v>3.8650000000197906</v>
      </c>
      <c r="BD132" s="42">
        <f>HLOOKUP(BD$116+50,Kostengegevens!$AK$74:$BN$135,Stappen!$AA132,FALSE)+BD71</f>
        <v>1.1190000000060536</v>
      </c>
      <c r="BE132" s="35"/>
      <c r="BG132" s="2">
        <v>5</v>
      </c>
      <c r="BH132" s="57">
        <v>17</v>
      </c>
      <c r="BI132" s="56">
        <f>BJ132</f>
        <v>84.112149532710276</v>
      </c>
      <c r="BJ132" s="56">
        <f>HLOOKUP(Stappen!BJ$116,Stappen!$BL$116:$BP$178,BH132,FALSE)*VLOOKUP($BG132,Stappen!$BH$24:$BJ$46,3,FALSE)</f>
        <v>84.112149532710276</v>
      </c>
      <c r="BK132" s="62" t="s">
        <v>22</v>
      </c>
      <c r="BL132" s="61">
        <f>Stappen!BL132</f>
        <v>0.75739644970414199</v>
      </c>
      <c r="BM132" s="61">
        <f>Stappen!BM132</f>
        <v>0.64516129032258063</v>
      </c>
      <c r="BN132" s="61">
        <f>Stappen!BN132</f>
        <v>0.67813765182186236</v>
      </c>
      <c r="BO132" s="61">
        <f>Stappen!BO132</f>
        <v>0.70143884892086328</v>
      </c>
      <c r="BP132" s="61">
        <f>Stappen!BP132</f>
        <v>0.75739644970414199</v>
      </c>
      <c r="BR132" s="56">
        <f>Stappen!BR132</f>
        <v>1</v>
      </c>
      <c r="BS132" s="56">
        <f>Stappen!BS132</f>
        <v>1</v>
      </c>
      <c r="BT132" s="56">
        <f>Stappen!BT132</f>
        <v>1</v>
      </c>
      <c r="BU132" s="56">
        <f>Stappen!BU132</f>
        <v>1</v>
      </c>
      <c r="BV132" s="56">
        <f>Stappen!BV132</f>
        <v>0</v>
      </c>
    </row>
    <row r="133" spans="1:74" x14ac:dyDescent="0.2">
      <c r="A133" s="113"/>
      <c r="B133" s="114">
        <v>31</v>
      </c>
      <c r="C133" s="236" t="s">
        <v>302</v>
      </c>
      <c r="D133" s="191"/>
      <c r="E133" s="244"/>
      <c r="F133" s="127">
        <f>BI133</f>
        <v>46.261682242990652</v>
      </c>
      <c r="G133" s="127"/>
      <c r="H133" s="133" t="s">
        <v>22</v>
      </c>
      <c r="I133" s="128"/>
      <c r="J133" s="134">
        <f t="shared" si="17"/>
        <v>18978.355324338678</v>
      </c>
      <c r="K133" s="129">
        <f t="shared" si="11"/>
        <v>6307.8260803743351</v>
      </c>
      <c r="L133" s="130">
        <f t="shared" si="12"/>
        <v>9402.231196696288</v>
      </c>
      <c r="M133" s="131">
        <f t="shared" si="13"/>
        <v>104297.10718931408</v>
      </c>
      <c r="N133" s="129">
        <f t="shared" si="14"/>
        <v>3618.9553579882904</v>
      </c>
      <c r="O133" s="130">
        <f t="shared" si="15"/>
        <v>1832.412891026851</v>
      </c>
      <c r="T133" s="91" t="str">
        <f>HLOOKUP(Z133,$U$116:$Y$183,AA133,FALSE)</f>
        <v>1 hardhouten kozijnen met HR++ glas</v>
      </c>
      <c r="U133" s="99" t="s">
        <v>73</v>
      </c>
      <c r="V133" s="99" t="s">
        <v>82</v>
      </c>
      <c r="W133" s="99" t="s">
        <v>91</v>
      </c>
      <c r="X133" s="99" t="s">
        <v>95</v>
      </c>
      <c r="Y133" s="263" t="s">
        <v>62</v>
      </c>
      <c r="Z133" s="2">
        <f>HLOOKUP(Z$116,$BR$116:$BV$183,BH133,FALSE)</f>
        <v>1</v>
      </c>
      <c r="AA133" s="35">
        <f t="shared" si="16"/>
        <v>18</v>
      </c>
      <c r="AB133" s="42">
        <f>HLOOKUP(AB$116,Kostengegevens!$AK$74:$BN$135,Stappen!$AA133,FALSE)+AB72</f>
        <v>410.23919589984621</v>
      </c>
      <c r="AC133" s="42">
        <f>HLOOKUP(AC$116,Kostengegevens!$AK$74:$BN$135,Stappen!$AA133,FALSE)+AC72</f>
        <v>456.71633899982476</v>
      </c>
      <c r="AD133" s="42">
        <f>HLOOKUP(AD$116,Kostengegevens!$AK$74:$BN$135,Stappen!$AA133,FALSE)+AD72</f>
        <v>475.13604899986422</v>
      </c>
      <c r="AE133" s="42">
        <f>HLOOKUP(AE$116,Kostengegevens!$AK$74:$BN$135,Stappen!$AA133,FALSE)+AE72</f>
        <v>511.33622549967765</v>
      </c>
      <c r="AF133" s="3"/>
      <c r="AG133" s="42">
        <f>HLOOKUP(AG$116+10,Kostengegevens!$AK$74:$BN$135,Stappen!$AA133,FALSE)+AG72</f>
        <v>136.35098800001089</v>
      </c>
      <c r="AH133" s="42">
        <f>HLOOKUP(AH$116+10,Kostengegevens!$AK$74:$BN$135,Stappen!$AA133,FALSE)+AH72</f>
        <v>119.17207100005618</v>
      </c>
      <c r="AI133" s="42">
        <f>HLOOKUP(AI$116+10,Kostengegevens!$AK$74:$BN$135,Stappen!$AA133,FALSE)+AI72</f>
        <v>74.755271000073662</v>
      </c>
      <c r="AJ133" s="42">
        <f>HLOOKUP(AJ$116+10,Kostengegevens!$AK$74:$BN$135,Stappen!$AA133,FALSE)+AJ72</f>
        <v>197.72534099987172</v>
      </c>
      <c r="AK133" s="3"/>
      <c r="AL133" s="42">
        <f>HLOOKUP(AL$116+20,Kostengegevens!$AK$74:$BN$135,Stappen!$AA133,FALSE)+AL72</f>
        <v>203.2401491003036</v>
      </c>
      <c r="AM133" s="42">
        <f>HLOOKUP(AM$116+20,Kostengegevens!$AK$74:$BN$135,Stappen!$AA133,FALSE)+AM72</f>
        <v>360.47666900034005</v>
      </c>
      <c r="AN133" s="42">
        <f>HLOOKUP(AN$116+20,Kostengegevens!$AK$74:$BN$135,Stappen!$AA133,FALSE)+AN72</f>
        <v>245.96089400021333</v>
      </c>
      <c r="AO133" s="42">
        <f>HLOOKUP(AO$116+20,Kostengegevens!$AK$74:$BN$135,Stappen!$AA133,FALSE)+AO72</f>
        <v>365.53789970035496</v>
      </c>
      <c r="AP133" s="3"/>
      <c r="AQ133" s="42">
        <f>HLOOKUP(AQ$116+30,Kostengegevens!$AK$74:$BN$135,Stappen!$AA133,FALSE)+AQ72</f>
        <v>2254.5031251023447</v>
      </c>
      <c r="AR133" s="42">
        <f>HLOOKUP(AR$116+30,Kostengegevens!$AK$74:$BN$135,Stappen!$AA133,FALSE)+AR72</f>
        <v>4172.7081835003792</v>
      </c>
      <c r="AS133" s="42">
        <f>HLOOKUP(AS$116+30,Kostengegevens!$AK$74:$BN$135,Stappen!$AA133,FALSE)+AS72</f>
        <v>2598.3943485035561</v>
      </c>
      <c r="AT133" s="42">
        <f>HLOOKUP(AT$116+30,Kostengegevens!$AK$74:$BN$135,Stappen!$AA133,FALSE)+AT72</f>
        <v>4746.2526731008466</v>
      </c>
      <c r="AU133" s="3"/>
      <c r="AV133" s="42">
        <f>HLOOKUP(AV$116+40,Kostengegevens!$AK$74:$BN$135,Stappen!$AA133,FALSE)+AV72</f>
        <v>78.227923899948905</v>
      </c>
      <c r="AW133" s="42">
        <f>HLOOKUP(AW$116+40,Kostengegevens!$AK$74:$BN$135,Stappen!$AA133,FALSE)+AW72</f>
        <v>126.65052699992992</v>
      </c>
      <c r="AX133" s="42">
        <f>HLOOKUP(AX$116+40,Kostengegevens!$AK$74:$BN$135,Stappen!$AA133,FALSE)+AX72</f>
        <v>117.27133199996371</v>
      </c>
      <c r="AY133" s="42">
        <f>HLOOKUP(AY$116+40,Kostengegevens!$AK$74:$BN$135,Stappen!$AA133,FALSE)+AY72</f>
        <v>97.946096499956866</v>
      </c>
      <c r="AZ133" s="3"/>
      <c r="BA133" s="42">
        <f>HLOOKUP(BA$116+50,Kostengegevens!$AK$74:$BN$135,Stappen!$AA133,FALSE)+BA72</f>
        <v>39.609733199974357</v>
      </c>
      <c r="BB133" s="42">
        <f>HLOOKUP(BB$116+50,Kostengegevens!$AK$74:$BN$135,Stappen!$AA133,FALSE)+BB72</f>
        <v>97.097785800000565</v>
      </c>
      <c r="BC133" s="42">
        <f>HLOOKUP(BC$116+50,Kostengegevens!$AK$74:$BN$135,Stappen!$AA133,FALSE)+BC72</f>
        <v>39.731742750020544</v>
      </c>
      <c r="BD133" s="42">
        <f>HLOOKUP(BD$116+50,Kostengegevens!$AK$74:$BN$135,Stappen!$AA133,FALSE)+BD72</f>
        <v>94.987894030000618</v>
      </c>
      <c r="BE133" s="3"/>
      <c r="BG133" s="2">
        <v>5</v>
      </c>
      <c r="BH133" s="57">
        <v>18</v>
      </c>
      <c r="BI133" s="56">
        <f>BJ133</f>
        <v>46.261682242990652</v>
      </c>
      <c r="BJ133" s="56">
        <f>HLOOKUP(Stappen!BJ$116,Stappen!$BL$116:$BP$178,BH133,FALSE)*VLOOKUP($BG133,Stappen!$BH$24:$BJ$46,3,FALSE)</f>
        <v>46.261682242990652</v>
      </c>
      <c r="BK133" s="62" t="s">
        <v>22</v>
      </c>
      <c r="BL133" s="61">
        <f>Stappen!BL133</f>
        <v>0.24260355029585798</v>
      </c>
      <c r="BM133" s="61">
        <f>Stappen!BM133</f>
        <v>0.35483870967741937</v>
      </c>
      <c r="BN133" s="61">
        <f>Stappen!BN133</f>
        <v>0.32186234817813764</v>
      </c>
      <c r="BO133" s="61">
        <f>Stappen!BO133</f>
        <v>0.29856115107913667</v>
      </c>
      <c r="BP133" s="61">
        <f>Stappen!BP133</f>
        <v>0.24260355029585798</v>
      </c>
      <c r="BR133" s="56">
        <f>Stappen!BR133</f>
        <v>1</v>
      </c>
      <c r="BS133" s="56">
        <f>Stappen!BS133</f>
        <v>1</v>
      </c>
      <c r="BT133" s="56">
        <f>Stappen!BT133</f>
        <v>2</v>
      </c>
      <c r="BU133" s="56">
        <f>Stappen!BU133</f>
        <v>2</v>
      </c>
      <c r="BV133" s="56">
        <f>Stappen!BV133</f>
        <v>0</v>
      </c>
    </row>
    <row r="134" spans="1:74" x14ac:dyDescent="0.2">
      <c r="A134" s="113"/>
      <c r="B134" s="114">
        <v>41</v>
      </c>
      <c r="C134" s="236" t="s">
        <v>303</v>
      </c>
      <c r="D134" s="191"/>
      <c r="E134" s="244"/>
      <c r="F134" s="127">
        <f>BI134</f>
        <v>84.112149532710276</v>
      </c>
      <c r="G134" s="127"/>
      <c r="H134" s="133" t="s">
        <v>22</v>
      </c>
      <c r="I134" s="128"/>
      <c r="J134" s="134">
        <f t="shared" si="17"/>
        <v>0</v>
      </c>
      <c r="K134" s="129">
        <f t="shared" si="11"/>
        <v>0</v>
      </c>
      <c r="L134" s="130">
        <f t="shared" si="12"/>
        <v>0</v>
      </c>
      <c r="M134" s="131">
        <f t="shared" si="13"/>
        <v>0</v>
      </c>
      <c r="N134" s="129">
        <f t="shared" si="14"/>
        <v>0</v>
      </c>
      <c r="O134" s="130">
        <f t="shared" si="15"/>
        <v>0</v>
      </c>
      <c r="T134" s="91" t="str">
        <f>HLOOKUP(Z134,$U$116:$Y$183,AA134,FALSE)</f>
        <v>5 n.v.t.</v>
      </c>
      <c r="U134" s="263" t="s">
        <v>337</v>
      </c>
      <c r="V134" s="263" t="s">
        <v>354</v>
      </c>
      <c r="W134" s="263" t="s">
        <v>161</v>
      </c>
      <c r="X134" s="263" t="s">
        <v>355</v>
      </c>
      <c r="Y134" s="263" t="s">
        <v>62</v>
      </c>
      <c r="Z134" s="2">
        <f>HLOOKUP(Z$116,$BR$116:$BV$183,BH134,FALSE)</f>
        <v>5</v>
      </c>
      <c r="AA134" s="35">
        <f t="shared" si="16"/>
        <v>19</v>
      </c>
      <c r="AB134" s="35">
        <f>HLOOKUP(AB$116,Kostengegevens!$AK$74:$BN$135,Stappen!$AA134,FALSE)</f>
        <v>93.777750000124797</v>
      </c>
      <c r="AC134" s="35">
        <f>HLOOKUP(AC$116,Kostengegevens!$AK$74:$BN$135,Stappen!$AA134,FALSE)</f>
        <v>110.87079999991693</v>
      </c>
      <c r="AD134" s="35">
        <f>HLOOKUP(AD$116,Kostengegevens!$AK$74:$BN$135,Stappen!$AA134,FALSE)</f>
        <v>110.11913333367556</v>
      </c>
      <c r="AE134" s="35">
        <f>HLOOKUP(AE$116,Kostengegevens!$AK$74:$BN$135,Stappen!$AA134,FALSE)</f>
        <v>87.689687999896705</v>
      </c>
      <c r="AF134" s="3"/>
      <c r="AG134" s="35">
        <f>HLOOKUP(AG$116+10,Kostengegevens!$AK$74:$BN$135,Stappen!$AA134,FALSE)</f>
        <v>6.3982499999110587</v>
      </c>
      <c r="AH134" s="35">
        <f>HLOOKUP(AH$116+10,Kostengegevens!$AK$74:$BN$135,Stappen!$AA134,FALSE)</f>
        <v>8.8060000000405125</v>
      </c>
      <c r="AI134" s="35">
        <f>HLOOKUP(AI$116+10,Kostengegevens!$AK$74:$BN$135,Stappen!$AA134,FALSE)</f>
        <v>15.499416666745674</v>
      </c>
      <c r="AJ134" s="35">
        <f>HLOOKUP(AJ$116+10,Kostengegevens!$AK$74:$BN$135,Stappen!$AA134,FALSE)</f>
        <v>16.520740000007208</v>
      </c>
      <c r="AK134" s="3"/>
      <c r="AL134" s="35">
        <f>HLOOKUP(AL$116+20,Kostengegevens!$AK$74:$BN$135,Stappen!$AA134,FALSE)</f>
        <v>34.04100000008475</v>
      </c>
      <c r="AM134" s="35">
        <f>HLOOKUP(AM$116+20,Kostengegevens!$AK$74:$BN$135,Stappen!$AA134,FALSE)</f>
        <v>32.921799999778159</v>
      </c>
      <c r="AN134" s="35">
        <f>HLOOKUP(AN$116+20,Kostengegevens!$AK$74:$BN$135,Stappen!$AA134,FALSE)</f>
        <v>89.440800000098534</v>
      </c>
      <c r="AO134" s="35">
        <f>HLOOKUP(AO$116+20,Kostengegevens!$AK$74:$BN$135,Stappen!$AA134,FALSE)</f>
        <v>72.572488000267185</v>
      </c>
      <c r="AP134" s="3"/>
      <c r="AQ134" s="35">
        <f>HLOOKUP(AQ$116+30,Kostengegevens!$AK$74:$BN$135,Stappen!$AA134,FALSE)</f>
        <v>150.03149999864399</v>
      </c>
      <c r="AR134" s="35">
        <f>HLOOKUP(AR$116+30,Kostengegevens!$AK$74:$BN$135,Stappen!$AA134,FALSE)</f>
        <v>287.5</v>
      </c>
      <c r="AS134" s="35">
        <f>HLOOKUP(AS$116+30,Kostengegevens!$AK$74:$BN$135,Stappen!$AA134,FALSE)</f>
        <v>564.3294166661799</v>
      </c>
      <c r="AT134" s="35">
        <f>HLOOKUP(AT$116+30,Kostengegevens!$AK$74:$BN$135,Stappen!$AA134,FALSE)</f>
        <v>1458.3805400021374</v>
      </c>
      <c r="AU134" s="3"/>
      <c r="AV134" s="35">
        <f>HLOOKUP(AV$116+40,Kostengegevens!$AK$74:$BN$135,Stappen!$AA134,FALSE)</f>
        <v>26.107500000012806</v>
      </c>
      <c r="AW134" s="35">
        <f>HLOOKUP(AW$116+40,Kostengegevens!$AK$74:$BN$135,Stappen!$AA134,FALSE)</f>
        <v>15.387800000011339</v>
      </c>
      <c r="AX134" s="35">
        <f>HLOOKUP(AX$116+40,Kostengegevens!$AK$74:$BN$135,Stappen!$AA134,FALSE)</f>
        <v>72.909133333349018</v>
      </c>
      <c r="AY134" s="35">
        <f>HLOOKUP(AY$116+40,Kostengegevens!$AK$74:$BN$135,Stappen!$AA134,FALSE)</f>
        <v>30.552288000006229</v>
      </c>
      <c r="AZ134" s="3"/>
      <c r="BA134" s="35">
        <f>HLOOKUP(BA$116+50,Kostengegevens!$AK$74:$BN$135,Stappen!$AA134,FALSE)</f>
        <v>4.104749999998603</v>
      </c>
      <c r="BB134" s="35">
        <f>HLOOKUP(BB$116+50,Kostengegevens!$AK$74:$BN$135,Stappen!$AA134,FALSE)</f>
        <v>1.7460000000428408</v>
      </c>
      <c r="BC134" s="35">
        <f>HLOOKUP(BC$116+50,Kostengegevens!$AK$74:$BN$135,Stappen!$AA134,FALSE)</f>
        <v>0</v>
      </c>
      <c r="BD134" s="35">
        <f>HLOOKUP(BD$116+50,Kostengegevens!$AK$74:$BN$135,Stappen!$AA134,FALSE)</f>
        <v>3.2338000000163447</v>
      </c>
      <c r="BE134" s="3"/>
      <c r="BG134" s="2">
        <v>5</v>
      </c>
      <c r="BH134" s="57">
        <v>19</v>
      </c>
      <c r="BI134" s="56">
        <f>BJ134</f>
        <v>84.112149532710276</v>
      </c>
      <c r="BJ134" s="56">
        <f>HLOOKUP(Stappen!BJ$116,Stappen!$BL$116:$BP$178,BH134,FALSE)*VLOOKUP($BG134,Stappen!$BH$24:$BJ$46,3,FALSE)</f>
        <v>84.112149532710276</v>
      </c>
      <c r="BK134" s="62" t="s">
        <v>22</v>
      </c>
      <c r="BL134" s="61">
        <f>Stappen!BL134</f>
        <v>0.75739644970414199</v>
      </c>
      <c r="BM134" s="61">
        <f>Stappen!BM134</f>
        <v>0.64516129032258063</v>
      </c>
      <c r="BN134" s="61">
        <f>Stappen!BN134</f>
        <v>0.67813765182186236</v>
      </c>
      <c r="BO134" s="61">
        <f>Stappen!BO134</f>
        <v>0.70143884892086328</v>
      </c>
      <c r="BP134" s="61">
        <f>Stappen!BP134</f>
        <v>0.75739644970414199</v>
      </c>
      <c r="BR134" s="56">
        <f>Stappen!BR134</f>
        <v>5</v>
      </c>
      <c r="BS134" s="56">
        <f>Stappen!BS134</f>
        <v>5</v>
      </c>
      <c r="BT134" s="56">
        <f>Stappen!BT134</f>
        <v>5</v>
      </c>
      <c r="BU134" s="56">
        <f>Stappen!BU134</f>
        <v>5</v>
      </c>
      <c r="BV134" s="56">
        <f>Stappen!BV134</f>
        <v>0</v>
      </c>
    </row>
    <row r="135" spans="1:74" x14ac:dyDescent="0.2">
      <c r="A135" s="120" t="s">
        <v>167</v>
      </c>
      <c r="B135" s="114"/>
      <c r="C135" s="235" t="s">
        <v>54</v>
      </c>
      <c r="D135" s="191"/>
      <c r="E135" s="133"/>
      <c r="F135" s="133"/>
      <c r="G135" s="133"/>
      <c r="H135" s="133"/>
      <c r="I135" s="128"/>
      <c r="J135" s="134"/>
      <c r="K135" s="129"/>
      <c r="L135" s="130"/>
      <c r="M135" s="131"/>
      <c r="N135" s="129"/>
      <c r="O135" s="130"/>
      <c r="P135" s="84"/>
      <c r="T135" s="91"/>
      <c r="U135" s="263"/>
      <c r="V135" s="263"/>
      <c r="W135" s="263"/>
      <c r="X135" s="263"/>
      <c r="Y135" s="263"/>
      <c r="AA135" s="35">
        <f t="shared" si="16"/>
        <v>20</v>
      </c>
      <c r="AB135" s="35">
        <f>HLOOKUP(AB$116,Kostengegevens!$AK$74:$BN$135,Stappen!$AA135,FALSE)</f>
        <v>0</v>
      </c>
      <c r="AC135" s="35">
        <f>HLOOKUP(AC$116,Kostengegevens!$AK$74:$BN$135,Stappen!$AA135,FALSE)</f>
        <v>0</v>
      </c>
      <c r="AD135" s="35">
        <f>HLOOKUP(AD$116,Kostengegevens!$AK$74:$BN$135,Stappen!$AA135,FALSE)</f>
        <v>0</v>
      </c>
      <c r="AE135" s="35">
        <f>HLOOKUP(AE$116,Kostengegevens!$AK$74:$BN$135,Stappen!$AA135,FALSE)</f>
        <v>0</v>
      </c>
      <c r="AF135" s="3"/>
      <c r="AG135" s="35">
        <f>HLOOKUP(AG$116+10,Kostengegevens!$AK$74:$BN$135,Stappen!$AA135,FALSE)</f>
        <v>0</v>
      </c>
      <c r="AH135" s="35">
        <f>HLOOKUP(AH$116+10,Kostengegevens!$AK$74:$BN$135,Stappen!$AA135,FALSE)</f>
        <v>0</v>
      </c>
      <c r="AI135" s="35">
        <f>HLOOKUP(AI$116+10,Kostengegevens!$AK$74:$BN$135,Stappen!$AA135,FALSE)</f>
        <v>0</v>
      </c>
      <c r="AJ135" s="35">
        <f>HLOOKUP(AJ$116+10,Kostengegevens!$AK$74:$BN$135,Stappen!$AA135,FALSE)</f>
        <v>0</v>
      </c>
      <c r="AK135" s="3"/>
      <c r="AL135" s="35">
        <f>HLOOKUP(AL$116+20,Kostengegevens!$AK$74:$BN$135,Stappen!$AA135,FALSE)</f>
        <v>0</v>
      </c>
      <c r="AM135" s="35">
        <f>HLOOKUP(AM$116+20,Kostengegevens!$AK$74:$BN$135,Stappen!$AA135,FALSE)</f>
        <v>0</v>
      </c>
      <c r="AN135" s="35">
        <f>HLOOKUP(AN$116+20,Kostengegevens!$AK$74:$BN$135,Stappen!$AA135,FALSE)</f>
        <v>0</v>
      </c>
      <c r="AO135" s="35">
        <f>HLOOKUP(AO$116+20,Kostengegevens!$AK$74:$BN$135,Stappen!$AA135,FALSE)</f>
        <v>0</v>
      </c>
      <c r="AP135" s="3"/>
      <c r="AQ135" s="35">
        <f>HLOOKUP(AQ$116+30,Kostengegevens!$AK$74:$BN$135,Stappen!$AA135,FALSE)</f>
        <v>0</v>
      </c>
      <c r="AR135" s="35">
        <f>HLOOKUP(AR$116+30,Kostengegevens!$AK$74:$BN$135,Stappen!$AA135,FALSE)</f>
        <v>0</v>
      </c>
      <c r="AS135" s="35">
        <f>HLOOKUP(AS$116+30,Kostengegevens!$AK$74:$BN$135,Stappen!$AA135,FALSE)</f>
        <v>0</v>
      </c>
      <c r="AT135" s="35">
        <f>HLOOKUP(AT$116+30,Kostengegevens!$AK$74:$BN$135,Stappen!$AA135,FALSE)</f>
        <v>0</v>
      </c>
      <c r="AU135" s="3"/>
      <c r="AV135" s="35">
        <f>HLOOKUP(AV$116+40,Kostengegevens!$AK$74:$BN$135,Stappen!$AA135,FALSE)</f>
        <v>0</v>
      </c>
      <c r="AW135" s="35">
        <f>HLOOKUP(AW$116+40,Kostengegevens!$AK$74:$BN$135,Stappen!$AA135,FALSE)</f>
        <v>0</v>
      </c>
      <c r="AX135" s="35">
        <f>HLOOKUP(AX$116+40,Kostengegevens!$AK$74:$BN$135,Stappen!$AA135,FALSE)</f>
        <v>0</v>
      </c>
      <c r="AY135" s="35">
        <f>HLOOKUP(AY$116+40,Kostengegevens!$AK$74:$BN$135,Stappen!$AA135,FALSE)</f>
        <v>0</v>
      </c>
      <c r="AZ135" s="3"/>
      <c r="BA135" s="35">
        <f>HLOOKUP(BA$116+50,Kostengegevens!$AK$74:$BN$135,Stappen!$AA135,FALSE)</f>
        <v>0</v>
      </c>
      <c r="BB135" s="35">
        <f>HLOOKUP(BB$116+50,Kostengegevens!$AK$74:$BN$135,Stappen!$AA135,FALSE)</f>
        <v>0</v>
      </c>
      <c r="BC135" s="35">
        <f>HLOOKUP(BC$116+50,Kostengegevens!$AK$74:$BN$135,Stappen!$AA135,FALSE)</f>
        <v>0</v>
      </c>
      <c r="BD135" s="35">
        <f>HLOOKUP(BD$116+50,Kostengegevens!$AK$74:$BN$135,Stappen!$AA135,FALSE)</f>
        <v>0</v>
      </c>
      <c r="BE135" s="3"/>
      <c r="BH135" s="57">
        <v>20</v>
      </c>
      <c r="BI135" s="56"/>
      <c r="BJ135" s="56"/>
      <c r="BK135" s="62"/>
      <c r="BL135" s="61"/>
      <c r="BM135" s="61"/>
      <c r="BN135" s="61"/>
      <c r="BO135" s="61"/>
      <c r="BP135" s="61"/>
      <c r="BR135" s="56"/>
      <c r="BS135" s="56"/>
      <c r="BT135" s="56"/>
      <c r="BU135" s="56"/>
      <c r="BV135" s="56"/>
    </row>
    <row r="136" spans="1:74" x14ac:dyDescent="0.2">
      <c r="A136" s="113"/>
      <c r="B136" s="114">
        <v>22</v>
      </c>
      <c r="C136" s="236" t="s">
        <v>421</v>
      </c>
      <c r="D136" s="191"/>
      <c r="E136" s="244"/>
      <c r="F136" s="127">
        <f>BI136</f>
        <v>89.719626168224295</v>
      </c>
      <c r="G136" s="127"/>
      <c r="H136" s="133" t="s">
        <v>22</v>
      </c>
      <c r="I136" s="128"/>
      <c r="J136" s="134">
        <f>HLOOKUP($Z136,$AB$116:$AF$183,$AA136,FALSE)*$F136</f>
        <v>3886.923364483725</v>
      </c>
      <c r="K136" s="129">
        <f t="shared" si="11"/>
        <v>690.72897196355677</v>
      </c>
      <c r="L136" s="130">
        <f t="shared" si="12"/>
        <v>3418.9233644787114</v>
      </c>
      <c r="M136" s="131">
        <f t="shared" si="13"/>
        <v>42575.663551340032</v>
      </c>
      <c r="N136" s="129">
        <f t="shared" si="14"/>
        <v>1388.6803738310471</v>
      </c>
      <c r="O136" s="130">
        <f t="shared" si="15"/>
        <v>154.2056074798995</v>
      </c>
      <c r="T136" s="91" t="str">
        <f>HLOOKUP(Z136,$U$116:$Y$183,AA136,FALSE)</f>
        <v>2 gipsblokken</v>
      </c>
      <c r="U136" s="263" t="s">
        <v>99</v>
      </c>
      <c r="V136" s="263" t="s">
        <v>98</v>
      </c>
      <c r="W136" s="263" t="s">
        <v>97</v>
      </c>
      <c r="X136" s="263" t="s">
        <v>96</v>
      </c>
      <c r="Y136" s="263" t="s">
        <v>62</v>
      </c>
      <c r="Z136" s="2">
        <f>HLOOKUP(Z$116,$BR$116:$BV$183,BH136,FALSE)</f>
        <v>2</v>
      </c>
      <c r="AA136" s="35">
        <f t="shared" si="16"/>
        <v>21</v>
      </c>
      <c r="AB136" s="35">
        <f>HLOOKUP(AB$116,Kostengegevens!$AK$74:$BN$135,Stappen!$AA136,FALSE)</f>
        <v>84.9910000001546</v>
      </c>
      <c r="AC136" s="35">
        <f>HLOOKUP(AC$116,Kostengegevens!$AK$74:$BN$135,Stappen!$AA136,FALSE)</f>
        <v>43.322999999974854</v>
      </c>
      <c r="AD136" s="35">
        <f>HLOOKUP(AD$116,Kostengegevens!$AK$74:$BN$135,Stappen!$AA136,FALSE)</f>
        <v>71.348549999995157</v>
      </c>
      <c r="AE136" s="35">
        <f>HLOOKUP(AE$116,Kostengegevens!$AK$74:$BN$135,Stappen!$AA136,FALSE)</f>
        <v>64.499999999941792</v>
      </c>
      <c r="AF136" s="3"/>
      <c r="AG136" s="35">
        <f>HLOOKUP(AG$116+10,Kostengegevens!$AK$74:$BN$135,Stappen!$AA136,FALSE)</f>
        <v>10.098000000056345</v>
      </c>
      <c r="AH136" s="35">
        <f>HLOOKUP(AH$116+10,Kostengegevens!$AK$74:$BN$135,Stappen!$AA136,FALSE)</f>
        <v>7.6987500000104774</v>
      </c>
      <c r="AI136" s="35">
        <f>HLOOKUP(AI$116+10,Kostengegevens!$AK$74:$BN$135,Stappen!$AA136,FALSE)</f>
        <v>9.116500000061933</v>
      </c>
      <c r="AJ136" s="35">
        <f>HLOOKUP(AJ$116+10,Kostengegevens!$AK$74:$BN$135,Stappen!$AA136,FALSE)</f>
        <v>11.327500000028522</v>
      </c>
      <c r="AK136" s="3"/>
      <c r="AL136" s="35">
        <f>HLOOKUP(AL$116+20,Kostengegevens!$AK$74:$BN$135,Stappen!$AA136,FALSE)</f>
        <v>35.262500000069849</v>
      </c>
      <c r="AM136" s="35">
        <f>HLOOKUP(AM$116+20,Kostengegevens!$AK$74:$BN$135,Stappen!$AA136,FALSE)</f>
        <v>38.106749999918975</v>
      </c>
      <c r="AN136" s="35">
        <f>HLOOKUP(AN$116+20,Kostengegevens!$AK$74:$BN$135,Stappen!$AA136,FALSE)</f>
        <v>37.948049999948125</v>
      </c>
      <c r="AO136" s="35">
        <f>HLOOKUP(AO$116+20,Kostengegevens!$AK$74:$BN$135,Stappen!$AA136,FALSE)</f>
        <v>35.288749999948777</v>
      </c>
      <c r="AP136" s="3"/>
      <c r="AQ136" s="35">
        <f>HLOOKUP(AQ$116+30,Kostengegevens!$AK$74:$BN$135,Stappen!$AA136,FALSE)</f>
        <v>365.79674999974668</v>
      </c>
      <c r="AR136" s="35">
        <f>HLOOKUP(AR$116+30,Kostengegevens!$AK$74:$BN$135,Stappen!$AA136,FALSE)</f>
        <v>474.54124999931082</v>
      </c>
      <c r="AS136" s="35">
        <f>HLOOKUP(AS$116+30,Kostengegevens!$AK$74:$BN$135,Stappen!$AA136,FALSE)</f>
        <v>557.86975000053644</v>
      </c>
      <c r="AT136" s="35">
        <f>HLOOKUP(AT$116+30,Kostengegevens!$AK$74:$BN$135,Stappen!$AA136,FALSE)</f>
        <v>662.64500000234693</v>
      </c>
      <c r="AU136" s="3"/>
      <c r="AV136" s="35">
        <f>HLOOKUP(AV$116+40,Kostengegevens!$AK$74:$BN$135,Stappen!$AA136,FALSE)</f>
        <v>7.8564999999944121</v>
      </c>
      <c r="AW136" s="35">
        <f>HLOOKUP(AW$116+40,Kostengegevens!$AK$74:$BN$135,Stappen!$AA136,FALSE)</f>
        <v>15.47799999999188</v>
      </c>
      <c r="AX136" s="35">
        <f>HLOOKUP(AX$116+40,Kostengegevens!$AK$74:$BN$135,Stappen!$AA136,FALSE)</f>
        <v>10.656550000017887</v>
      </c>
      <c r="AY136" s="35">
        <f>HLOOKUP(AY$116+40,Kostengegevens!$AK$74:$BN$135,Stappen!$AA136,FALSE)</f>
        <v>3.242500000000291</v>
      </c>
      <c r="AZ136" s="3"/>
      <c r="BA136" s="35">
        <f>HLOOKUP(BA$116+50,Kostengegevens!$AK$74:$BN$135,Stappen!$AA136,FALSE)</f>
        <v>3.3977500000037253</v>
      </c>
      <c r="BB136" s="35">
        <f>HLOOKUP(BB$116+50,Kostengegevens!$AK$74:$BN$135,Stappen!$AA136,FALSE)</f>
        <v>1.7187500000363798</v>
      </c>
      <c r="BC136" s="35">
        <f>HLOOKUP(BC$116+50,Kostengegevens!$AK$74:$BN$135,Stappen!$AA136,FALSE)</f>
        <v>3.0639999999621068</v>
      </c>
      <c r="BD136" s="35">
        <f>HLOOKUP(BD$116+50,Kostengegevens!$AK$74:$BN$135,Stappen!$AA136,FALSE)</f>
        <v>1.9600000000282307</v>
      </c>
      <c r="BE136" s="3"/>
      <c r="BG136" s="2">
        <v>6</v>
      </c>
      <c r="BH136" s="57">
        <v>21</v>
      </c>
      <c r="BI136" s="56">
        <f>BJ136</f>
        <v>89.719626168224295</v>
      </c>
      <c r="BJ136" s="56">
        <f>HLOOKUP(Stappen!BJ$116,Stappen!$BL$116:$BP$178,BH136,FALSE)*VLOOKUP($BG136,Stappen!$BH$24:$BJ$46,3,FALSE)</f>
        <v>89.719626168224295</v>
      </c>
      <c r="BK136" s="62" t="s">
        <v>22</v>
      </c>
      <c r="BL136" s="61">
        <f>Stappen!BL136</f>
        <v>0.48380129589632831</v>
      </c>
      <c r="BM136" s="61">
        <f>Stappen!BM136</f>
        <v>0.59813084112149528</v>
      </c>
      <c r="BN136" s="61">
        <f>Stappen!BN136</f>
        <v>0.45226130653266333</v>
      </c>
      <c r="BO136" s="61">
        <f>Stappen!BO136</f>
        <v>0.33567046450482035</v>
      </c>
      <c r="BP136" s="61">
        <f>Stappen!BP136</f>
        <v>0.48380129589632831</v>
      </c>
      <c r="BR136" s="56">
        <f>Stappen!BR136</f>
        <v>2</v>
      </c>
      <c r="BS136" s="56">
        <f>Stappen!BS136</f>
        <v>2</v>
      </c>
      <c r="BT136" s="56">
        <f>Stappen!BT136</f>
        <v>1</v>
      </c>
      <c r="BU136" s="56">
        <f>Stappen!BU136</f>
        <v>1</v>
      </c>
      <c r="BV136" s="56">
        <f>Stappen!BV136</f>
        <v>0</v>
      </c>
    </row>
    <row r="137" spans="1:74" x14ac:dyDescent="0.2">
      <c r="A137" s="113"/>
      <c r="B137" s="114">
        <v>32</v>
      </c>
      <c r="C137" s="236" t="s">
        <v>304</v>
      </c>
      <c r="D137" s="191"/>
      <c r="E137" s="244"/>
      <c r="F137" s="127">
        <f>BI137</f>
        <v>22.429906542056074</v>
      </c>
      <c r="G137" s="127"/>
      <c r="H137" s="133" t="s">
        <v>22</v>
      </c>
      <c r="I137" s="128"/>
      <c r="J137" s="134">
        <f>HLOOKUP($Z137,$AB$116:$AF$183,$AA137,FALSE)*$F137</f>
        <v>3064.4085981331223</v>
      </c>
      <c r="K137" s="129">
        <f t="shared" si="11"/>
        <v>550.71233644813924</v>
      </c>
      <c r="L137" s="130">
        <f t="shared" si="12"/>
        <v>1851.7988785050748</v>
      </c>
      <c r="M137" s="131">
        <f t="shared" si="13"/>
        <v>22961.151214944668</v>
      </c>
      <c r="N137" s="129">
        <f t="shared" si="14"/>
        <v>694.161869158944</v>
      </c>
      <c r="O137" s="130">
        <f t="shared" si="15"/>
        <v>171.8638317761114</v>
      </c>
      <c r="T137" s="91" t="str">
        <f>HLOOKUP(Z137,$U$116:$Y$183,AA137,FALSE)</f>
        <v>1 gezet-stalen kozijnen/opdekdeuren</v>
      </c>
      <c r="U137" s="263" t="s">
        <v>100</v>
      </c>
      <c r="V137" s="263" t="s">
        <v>101</v>
      </c>
      <c r="W137" s="263" t="s">
        <v>102</v>
      </c>
      <c r="X137" s="263" t="s">
        <v>103</v>
      </c>
      <c r="Y137" s="263" t="s">
        <v>62</v>
      </c>
      <c r="Z137" s="2">
        <f>HLOOKUP(Z$116,$BR$116:$BV$183,BH137,FALSE)</f>
        <v>1</v>
      </c>
      <c r="AA137" s="35">
        <f t="shared" si="16"/>
        <v>22</v>
      </c>
      <c r="AB137" s="35">
        <f>HLOOKUP(AB$116,Kostengegevens!$AK$74:$BN$135,Stappen!$AA137,FALSE)</f>
        <v>136.62155000010171</v>
      </c>
      <c r="AC137" s="35">
        <f>HLOOKUP(AC$116,Kostengegevens!$AK$74:$BN$135,Stappen!$AA137,FALSE)</f>
        <v>241.64098166673239</v>
      </c>
      <c r="AD137" s="35">
        <f>HLOOKUP(AD$116,Kostengegevens!$AK$74:$BN$135,Stappen!$AA137,FALSE)</f>
        <v>354.27165555552756</v>
      </c>
      <c r="AE137" s="35">
        <f>HLOOKUP(AE$116,Kostengegevens!$AK$74:$BN$135,Stappen!$AA137,FALSE)</f>
        <v>341.47230000001537</v>
      </c>
      <c r="AF137" s="3"/>
      <c r="AG137" s="35">
        <f>HLOOKUP(AG$116+10,Kostengegevens!$AK$74:$BN$135,Stappen!$AA137,FALSE)</f>
        <v>24.552591666646208</v>
      </c>
      <c r="AH137" s="35">
        <f>HLOOKUP(AH$116+10,Kostengegevens!$AK$74:$BN$135,Stappen!$AA137,FALSE)</f>
        <v>53.049033333451348</v>
      </c>
      <c r="AI137" s="35">
        <f>HLOOKUP(AI$116+10,Kostengegevens!$AK$74:$BN$135,Stappen!$AA137,FALSE)</f>
        <v>77.376805555634178</v>
      </c>
      <c r="AJ137" s="35">
        <f>HLOOKUP(AJ$116+10,Kostengegevens!$AK$74:$BN$135,Stappen!$AA137,FALSE)</f>
        <v>99.481138888962505</v>
      </c>
      <c r="AK137" s="3"/>
      <c r="AL137" s="35">
        <f>HLOOKUP(AL$116+20,Kostengegevens!$AK$74:$BN$135,Stappen!$AA137,FALSE)</f>
        <v>82.559366666684582</v>
      </c>
      <c r="AM137" s="35">
        <f>HLOOKUP(AM$116+20,Kostengegevens!$AK$74:$BN$135,Stappen!$AA137,FALSE)</f>
        <v>148.81110166665553</v>
      </c>
      <c r="AN137" s="35">
        <f>HLOOKUP(AN$116+20,Kostengegevens!$AK$74:$BN$135,Stappen!$AA137,FALSE)</f>
        <v>213.60148888881736</v>
      </c>
      <c r="AO137" s="35">
        <f>HLOOKUP(AO$116+20,Kostengegevens!$AK$74:$BN$135,Stappen!$AA137,FALSE)</f>
        <v>299.81602222213724</v>
      </c>
      <c r="AP137" s="3"/>
      <c r="AQ137" s="35">
        <f>HLOOKUP(AQ$116+30,Kostengegevens!$AK$74:$BN$135,Stappen!$AA137,FALSE)</f>
        <v>1023.6846583329498</v>
      </c>
      <c r="AR137" s="35">
        <f>HLOOKUP(AR$116+30,Kostengegevens!$AK$74:$BN$135,Stappen!$AA137,FALSE)</f>
        <v>2191.8973099999166</v>
      </c>
      <c r="AS137" s="35">
        <f>HLOOKUP(AS$116+30,Kostengegevens!$AK$74:$BN$135,Stappen!$AA137,FALSE)</f>
        <v>2363.548361109275</v>
      </c>
      <c r="AT137" s="35">
        <f>HLOOKUP(AT$116+30,Kostengegevens!$AK$74:$BN$135,Stappen!$AA137,FALSE)</f>
        <v>3740.5278055523813</v>
      </c>
      <c r="AU137" s="3"/>
      <c r="AV137" s="35">
        <f>HLOOKUP(AV$116+40,Kostengegevens!$AK$74:$BN$135,Stappen!$AA137,FALSE)</f>
        <v>30.948050000002922</v>
      </c>
      <c r="AW137" s="35">
        <f>HLOOKUP(AW$116+40,Kostengegevens!$AK$74:$BN$135,Stappen!$AA137,FALSE)</f>
        <v>52.030148333343277</v>
      </c>
      <c r="AX137" s="35">
        <f>HLOOKUP(AX$116+40,Kostengegevens!$AK$74:$BN$135,Stappen!$AA137,FALSE)</f>
        <v>97.101711111099007</v>
      </c>
      <c r="AY137" s="35">
        <f>HLOOKUP(AY$116+40,Kostengegevens!$AK$74:$BN$135,Stappen!$AA137,FALSE)</f>
        <v>105.4250222222264</v>
      </c>
      <c r="AZ137" s="3"/>
      <c r="BA137" s="35">
        <f>HLOOKUP(BA$116+50,Kostengegevens!$AK$74:$BN$135,Stappen!$AA137,FALSE)</f>
        <v>7.6622625000183007</v>
      </c>
      <c r="BB137" s="35">
        <f>HLOOKUP(BB$116+50,Kostengegevens!$AK$74:$BN$135,Stappen!$AA137,FALSE)</f>
        <v>20.626528333315264</v>
      </c>
      <c r="BC137" s="35">
        <f>HLOOKUP(BC$116+50,Kostengegevens!$AK$74:$BN$135,Stappen!$AA137,FALSE)</f>
        <v>19.801819444454253</v>
      </c>
      <c r="BD137" s="35">
        <f>HLOOKUP(BD$116+50,Kostengegevens!$AK$74:$BN$135,Stappen!$AA137,FALSE)</f>
        <v>62.044041666643324</v>
      </c>
      <c r="BE137" s="3"/>
      <c r="BG137" s="2">
        <v>6</v>
      </c>
      <c r="BH137" s="57">
        <v>22</v>
      </c>
      <c r="BI137" s="56">
        <f>BJ137</f>
        <v>22.429906542056074</v>
      </c>
      <c r="BJ137" s="56">
        <f>HLOOKUP(Stappen!BJ$116,Stappen!$BL$116:$BP$178,BH137,FALSE)*VLOOKUP($BG137,Stappen!$BH$24:$BJ$46,3,FALSE)</f>
        <v>22.429906542056074</v>
      </c>
      <c r="BK137" s="62" t="s">
        <v>22</v>
      </c>
      <c r="BL137" s="61">
        <f>Stappen!BL137</f>
        <v>0.13066954643628509</v>
      </c>
      <c r="BM137" s="61">
        <f>Stappen!BM137</f>
        <v>0.14953271028037382</v>
      </c>
      <c r="BN137" s="61">
        <f>Stappen!BN137</f>
        <v>0.14572864321608039</v>
      </c>
      <c r="BO137" s="61">
        <f>Stappen!BO137</f>
        <v>0.19193689745836984</v>
      </c>
      <c r="BP137" s="61">
        <f>Stappen!BP137</f>
        <v>0.13066954643628509</v>
      </c>
      <c r="BR137" s="56">
        <f>Stappen!BR137</f>
        <v>1</v>
      </c>
      <c r="BS137" s="56">
        <f>Stappen!BS137</f>
        <v>1</v>
      </c>
      <c r="BT137" s="56">
        <f>Stappen!BT137</f>
        <v>2</v>
      </c>
      <c r="BU137" s="56">
        <f>Stappen!BU137</f>
        <v>2</v>
      </c>
      <c r="BV137" s="56">
        <f>Stappen!BV137</f>
        <v>0</v>
      </c>
    </row>
    <row r="138" spans="1:74" x14ac:dyDescent="0.2">
      <c r="A138" s="113"/>
      <c r="B138" s="114">
        <v>42</v>
      </c>
      <c r="C138" s="236" t="s">
        <v>305</v>
      </c>
      <c r="D138" s="191"/>
      <c r="E138" s="244"/>
      <c r="F138" s="127">
        <f>BI138</f>
        <v>330.84112149532706</v>
      </c>
      <c r="G138" s="127"/>
      <c r="H138" s="133" t="s">
        <v>22</v>
      </c>
      <c r="I138" s="128"/>
      <c r="J138" s="134">
        <f>HLOOKUP($Z138,$AB$116:$AF$183,$AA138,FALSE)*$F138</f>
        <v>1862.0942579430709</v>
      </c>
      <c r="K138" s="129">
        <f t="shared" si="11"/>
        <v>267.3130093471251</v>
      </c>
      <c r="L138" s="130">
        <f t="shared" si="12"/>
        <v>1561.5002859863455</v>
      </c>
      <c r="M138" s="131">
        <f t="shared" si="13"/>
        <v>8195.7831869325073</v>
      </c>
      <c r="N138" s="129">
        <f t="shared" si="14"/>
        <v>1172.7669308418733</v>
      </c>
      <c r="O138" s="130">
        <f t="shared" si="15"/>
        <v>53.133911214194988</v>
      </c>
      <c r="T138" s="91" t="str">
        <f>HLOOKUP(Z138,$U$116:$Y$183,AA138,FALSE)</f>
        <v>1 woningbouw: behangklaar, tegels</v>
      </c>
      <c r="U138" s="263" t="s">
        <v>338</v>
      </c>
      <c r="V138" s="263" t="s">
        <v>104</v>
      </c>
      <c r="W138" s="263" t="s">
        <v>356</v>
      </c>
      <c r="X138" s="263" t="s">
        <v>115</v>
      </c>
      <c r="Y138" s="263" t="s">
        <v>62</v>
      </c>
      <c r="Z138" s="2">
        <f>HLOOKUP(Z$116,$BR$116:$BV$183,BH138,FALSE)</f>
        <v>1</v>
      </c>
      <c r="AA138" s="35">
        <f t="shared" si="16"/>
        <v>23</v>
      </c>
      <c r="AB138" s="35">
        <f>HLOOKUP(AB$116,Kostengegevens!$AK$74:$BN$135,Stappen!$AA138,FALSE)</f>
        <v>5.6283639999974184</v>
      </c>
      <c r="AC138" s="35">
        <f>HLOOKUP(AC$116,Kostengegevens!$AK$74:$BN$135,Stappen!$AA138,FALSE)</f>
        <v>5.6283639999974184</v>
      </c>
      <c r="AD138" s="35">
        <f>HLOOKUP(AD$116,Kostengegevens!$AK$74:$BN$135,Stappen!$AA138,FALSE)</f>
        <v>19.868363999941721</v>
      </c>
      <c r="AE138" s="35">
        <f>HLOOKUP(AE$116,Kostengegevens!$AK$74:$BN$135,Stappen!$AA138,FALSE)</f>
        <v>19.868363999941948</v>
      </c>
      <c r="AF138" s="3"/>
      <c r="AG138" s="35">
        <f>HLOOKUP(AG$116+10,Kostengegevens!$AK$74:$BN$135,Stappen!$AA138,FALSE)</f>
        <v>0.80798000000402226</v>
      </c>
      <c r="AH138" s="35">
        <f>HLOOKUP(AH$116+10,Kostengegevens!$AK$74:$BN$135,Stappen!$AA138,FALSE)</f>
        <v>0.80798000000402226</v>
      </c>
      <c r="AI138" s="35">
        <f>HLOOKUP(AI$116+10,Kostengegevens!$AK$74:$BN$135,Stappen!$AA138,FALSE)</f>
        <v>2.2479799999947545</v>
      </c>
      <c r="AJ138" s="35">
        <f>HLOOKUP(AJ$116+10,Kostengegevens!$AK$74:$BN$135,Stappen!$AA138,FALSE)</f>
        <v>2.2479799999947545</v>
      </c>
      <c r="AK138" s="3"/>
      <c r="AL138" s="35">
        <f>HLOOKUP(AL$116+20,Kostengegevens!$AK$74:$BN$135,Stappen!$AA138,FALSE)</f>
        <v>4.7197890000152256</v>
      </c>
      <c r="AM138" s="35">
        <f>HLOOKUP(AM$116+20,Kostengegevens!$AK$74:$BN$135,Stappen!$AA138,FALSE)</f>
        <v>4.7197890000152256</v>
      </c>
      <c r="AN138" s="35">
        <f>HLOOKUP(AN$116+20,Kostengegevens!$AK$74:$BN$135,Stappen!$AA138,FALSE)</f>
        <v>8.5717889999705221</v>
      </c>
      <c r="AO138" s="35">
        <f>HLOOKUP(AO$116+20,Kostengegevens!$AK$74:$BN$135,Stappen!$AA138,FALSE)</f>
        <v>8.5717889999705221</v>
      </c>
      <c r="AP138" s="3"/>
      <c r="AQ138" s="35">
        <f>HLOOKUP(AQ$116+30,Kostengegevens!$AK$74:$BN$135,Stappen!$AA138,FALSE)</f>
        <v>24.772565000050236</v>
      </c>
      <c r="AR138" s="35">
        <f>HLOOKUP(AR$116+30,Kostengegevens!$AK$74:$BN$135,Stappen!$AA138,FALSE)</f>
        <v>24.772565000050236</v>
      </c>
      <c r="AS138" s="35">
        <f>HLOOKUP(AS$116+30,Kostengegevens!$AK$74:$BN$135,Stappen!$AA138,FALSE)</f>
        <v>88.956565000407863</v>
      </c>
      <c r="AT138" s="35">
        <f>HLOOKUP(AT$116+30,Kostengegevens!$AK$74:$BN$135,Stappen!$AA138,FALSE)</f>
        <v>88.956565000407863</v>
      </c>
      <c r="AU138" s="3"/>
      <c r="AV138" s="35">
        <f>HLOOKUP(AV$116+40,Kostengegevens!$AK$74:$BN$135,Stappen!$AA138,FALSE)</f>
        <v>3.5448040000022729</v>
      </c>
      <c r="AW138" s="35">
        <f>HLOOKUP(AW$116+40,Kostengegevens!$AK$74:$BN$135,Stappen!$AA138,FALSE)</f>
        <v>3.5448040000022729</v>
      </c>
      <c r="AX138" s="35">
        <f>HLOOKUP(AX$116+40,Kostengegevens!$AK$74:$BN$135,Stappen!$AA138,FALSE)</f>
        <v>3.8968039999924713</v>
      </c>
      <c r="AY138" s="35">
        <f>HLOOKUP(AY$116+40,Kostengegevens!$AK$74:$BN$135,Stappen!$AA138,FALSE)</f>
        <v>3.8968039999924713</v>
      </c>
      <c r="AZ138" s="3"/>
      <c r="BA138" s="35">
        <f>HLOOKUP(BA$116+50,Kostengegevens!$AK$74:$BN$135,Stappen!$AA138,FALSE)</f>
        <v>0.16060249999770804</v>
      </c>
      <c r="BB138" s="35">
        <f>HLOOKUP(BB$116+50,Kostengegevens!$AK$74:$BN$135,Stappen!$AA138,FALSE)</f>
        <v>0.16060249999770804</v>
      </c>
      <c r="BC138" s="35">
        <f>HLOOKUP(BC$116+50,Kostengegevens!$AK$74:$BN$135,Stappen!$AA138,FALSE)</f>
        <v>0.28048250001063479</v>
      </c>
      <c r="BD138" s="35">
        <f>HLOOKUP(BD$116+50,Kostengegevens!$AK$74:$BN$135,Stappen!$AA138,FALSE)</f>
        <v>0.28048250001063479</v>
      </c>
      <c r="BE138" s="3"/>
      <c r="BG138" s="2">
        <v>6</v>
      </c>
      <c r="BH138" s="57">
        <v>23</v>
      </c>
      <c r="BI138" s="56">
        <f>BJ138</f>
        <v>330.84112149532706</v>
      </c>
      <c r="BJ138" s="56">
        <f>HLOOKUP(Stappen!BJ$116,Stappen!$BL$116:$BP$178,BH138,FALSE)*VLOOKUP($BG138,Stappen!$BH$24:$BJ$46,3,FALSE)</f>
        <v>330.84112149532706</v>
      </c>
      <c r="BK138" s="62" t="s">
        <v>22</v>
      </c>
      <c r="BL138" s="61">
        <f>Stappen!BL138</f>
        <v>1.6274298056155507</v>
      </c>
      <c r="BM138" s="61">
        <f>Stappen!BM138</f>
        <v>2.2056074766355138</v>
      </c>
      <c r="BN138" s="61">
        <f>Stappen!BN138</f>
        <v>2.1432160804020102</v>
      </c>
      <c r="BO138" s="61">
        <f>Stappen!BO138</f>
        <v>1.8992112182296232</v>
      </c>
      <c r="BP138" s="61">
        <f>Stappen!BP138</f>
        <v>1.6274298056155507</v>
      </c>
      <c r="BR138" s="56">
        <f>Stappen!BR138</f>
        <v>1</v>
      </c>
      <c r="BS138" s="56">
        <f>Stappen!BS138</f>
        <v>1</v>
      </c>
      <c r="BT138" s="56">
        <f>Stappen!BT138</f>
        <v>2</v>
      </c>
      <c r="BU138" s="56">
        <f>Stappen!BU138</f>
        <v>2</v>
      </c>
      <c r="BV138" s="56">
        <f>Stappen!BV138</f>
        <v>0</v>
      </c>
    </row>
    <row r="139" spans="1:74" x14ac:dyDescent="0.2">
      <c r="A139" s="120" t="s">
        <v>168</v>
      </c>
      <c r="B139" s="114"/>
      <c r="C139" s="235" t="s">
        <v>55</v>
      </c>
      <c r="D139" s="191"/>
      <c r="E139" s="133"/>
      <c r="F139" s="133"/>
      <c r="G139" s="133"/>
      <c r="H139" s="133"/>
      <c r="I139" s="128"/>
      <c r="J139" s="134"/>
      <c r="K139" s="129"/>
      <c r="L139" s="130"/>
      <c r="M139" s="131"/>
      <c r="N139" s="129"/>
      <c r="O139" s="130"/>
      <c r="P139" s="84"/>
      <c r="T139" s="91"/>
      <c r="U139" s="263"/>
      <c r="V139" s="263"/>
      <c r="W139" s="263"/>
      <c r="X139" s="263"/>
      <c r="Y139" s="263"/>
      <c r="AA139" s="35">
        <f t="shared" si="16"/>
        <v>24</v>
      </c>
      <c r="AB139" s="35">
        <f>HLOOKUP(AB$116,Kostengegevens!$AK$74:$BN$135,Stappen!$AA139,FALSE)</f>
        <v>0</v>
      </c>
      <c r="AC139" s="35">
        <f>HLOOKUP(AC$116,Kostengegevens!$AK$74:$BN$135,Stappen!$AA139,FALSE)</f>
        <v>0</v>
      </c>
      <c r="AD139" s="35">
        <f>HLOOKUP(AD$116,Kostengegevens!$AK$74:$BN$135,Stappen!$AA139,FALSE)</f>
        <v>0</v>
      </c>
      <c r="AE139" s="35">
        <f>HLOOKUP(AE$116,Kostengegevens!$AK$74:$BN$135,Stappen!$AA139,FALSE)</f>
        <v>0</v>
      </c>
      <c r="AF139" s="3"/>
      <c r="AG139" s="35">
        <f>HLOOKUP(AG$116+10,Kostengegevens!$AK$74:$BN$135,Stappen!$AA139,FALSE)</f>
        <v>0</v>
      </c>
      <c r="AH139" s="35">
        <f>HLOOKUP(AH$116+10,Kostengegevens!$AK$74:$BN$135,Stappen!$AA139,FALSE)</f>
        <v>0</v>
      </c>
      <c r="AI139" s="35">
        <f>HLOOKUP(AI$116+10,Kostengegevens!$AK$74:$BN$135,Stappen!$AA139,FALSE)</f>
        <v>0</v>
      </c>
      <c r="AJ139" s="35">
        <f>HLOOKUP(AJ$116+10,Kostengegevens!$AK$74:$BN$135,Stappen!$AA139,FALSE)</f>
        <v>0</v>
      </c>
      <c r="AK139" s="3"/>
      <c r="AL139" s="35">
        <f>HLOOKUP(AL$116+20,Kostengegevens!$AK$74:$BN$135,Stappen!$AA139,FALSE)</f>
        <v>0</v>
      </c>
      <c r="AM139" s="35">
        <f>HLOOKUP(AM$116+20,Kostengegevens!$AK$74:$BN$135,Stappen!$AA139,FALSE)</f>
        <v>0</v>
      </c>
      <c r="AN139" s="35">
        <f>HLOOKUP(AN$116+20,Kostengegevens!$AK$74:$BN$135,Stappen!$AA139,FALSE)</f>
        <v>0</v>
      </c>
      <c r="AO139" s="35">
        <f>HLOOKUP(AO$116+20,Kostengegevens!$AK$74:$BN$135,Stappen!$AA139,FALSE)</f>
        <v>0</v>
      </c>
      <c r="AP139" s="3"/>
      <c r="AQ139" s="35">
        <f>HLOOKUP(AQ$116+30,Kostengegevens!$AK$74:$BN$135,Stappen!$AA139,FALSE)</f>
        <v>0</v>
      </c>
      <c r="AR139" s="35">
        <f>HLOOKUP(AR$116+30,Kostengegevens!$AK$74:$BN$135,Stappen!$AA139,FALSE)</f>
        <v>0</v>
      </c>
      <c r="AS139" s="35">
        <f>HLOOKUP(AS$116+30,Kostengegevens!$AK$74:$BN$135,Stappen!$AA139,FALSE)</f>
        <v>0</v>
      </c>
      <c r="AT139" s="35">
        <f>HLOOKUP(AT$116+30,Kostengegevens!$AK$74:$BN$135,Stappen!$AA139,FALSE)</f>
        <v>0</v>
      </c>
      <c r="AU139" s="3"/>
      <c r="AV139" s="35">
        <f>HLOOKUP(AV$116+40,Kostengegevens!$AK$74:$BN$135,Stappen!$AA139,FALSE)</f>
        <v>0</v>
      </c>
      <c r="AW139" s="35">
        <f>HLOOKUP(AW$116+40,Kostengegevens!$AK$74:$BN$135,Stappen!$AA139,FALSE)</f>
        <v>0</v>
      </c>
      <c r="AX139" s="35">
        <f>HLOOKUP(AX$116+40,Kostengegevens!$AK$74:$BN$135,Stappen!$AA139,FALSE)</f>
        <v>0</v>
      </c>
      <c r="AY139" s="35">
        <f>HLOOKUP(AY$116+40,Kostengegevens!$AK$74:$BN$135,Stappen!$AA139,FALSE)</f>
        <v>0</v>
      </c>
      <c r="AZ139" s="3"/>
      <c r="BA139" s="35">
        <f>HLOOKUP(BA$116+50,Kostengegevens!$AK$74:$BN$135,Stappen!$AA139,FALSE)</f>
        <v>0</v>
      </c>
      <c r="BB139" s="35">
        <f>HLOOKUP(BB$116+50,Kostengegevens!$AK$74:$BN$135,Stappen!$AA139,FALSE)</f>
        <v>0</v>
      </c>
      <c r="BC139" s="35">
        <f>HLOOKUP(BC$116+50,Kostengegevens!$AK$74:$BN$135,Stappen!$AA139,FALSE)</f>
        <v>0</v>
      </c>
      <c r="BD139" s="35">
        <f>HLOOKUP(BD$116+50,Kostengegevens!$AK$74:$BN$135,Stappen!$AA139,FALSE)</f>
        <v>0</v>
      </c>
      <c r="BE139" s="3"/>
      <c r="BH139" s="57">
        <v>24</v>
      </c>
      <c r="BI139" s="56"/>
      <c r="BJ139" s="56"/>
      <c r="BK139" s="62"/>
      <c r="BL139" s="61"/>
      <c r="BM139" s="61"/>
      <c r="BN139" s="61"/>
      <c r="BO139" s="61"/>
      <c r="BP139" s="61"/>
      <c r="BR139" s="56"/>
      <c r="BS139" s="56"/>
      <c r="BT139" s="56"/>
      <c r="BU139" s="56"/>
      <c r="BV139" s="56"/>
    </row>
    <row r="140" spans="1:74" x14ac:dyDescent="0.2">
      <c r="A140" s="113"/>
      <c r="B140" s="114">
        <v>23</v>
      </c>
      <c r="C140" s="236" t="s">
        <v>306</v>
      </c>
      <c r="D140" s="191"/>
      <c r="E140" s="244"/>
      <c r="F140" s="127">
        <f>BI140</f>
        <v>14.018691588785046</v>
      </c>
      <c r="G140" s="127"/>
      <c r="H140" s="133" t="s">
        <v>22</v>
      </c>
      <c r="I140" s="128"/>
      <c r="J140" s="134">
        <f>HLOOKUP($Z140,$AB$116:$AF$183,$AA140,FALSE)*$F140</f>
        <v>3995.5015194702851</v>
      </c>
      <c r="K140" s="129">
        <f t="shared" si="11"/>
        <v>803.84417445469307</v>
      </c>
      <c r="L140" s="130">
        <f t="shared" si="12"/>
        <v>2592.2861456383862</v>
      </c>
      <c r="M140" s="131">
        <f t="shared" si="13"/>
        <v>24364.215003896643</v>
      </c>
      <c r="N140" s="129">
        <f t="shared" si="14"/>
        <v>475.71935825542943</v>
      </c>
      <c r="O140" s="130">
        <f t="shared" si="15"/>
        <v>546.76159221189016</v>
      </c>
      <c r="T140" s="91" t="str">
        <f>HLOOKUP(Z140,$U$116:$Y$183,AA140,FALSE)</f>
        <v>1 prefab-beton galerij / balkon</v>
      </c>
      <c r="U140" s="263" t="s">
        <v>105</v>
      </c>
      <c r="V140" s="263" t="s">
        <v>106</v>
      </c>
      <c r="W140" s="263" t="s">
        <v>83</v>
      </c>
      <c r="X140" s="263" t="s">
        <v>84</v>
      </c>
      <c r="Y140" s="263" t="s">
        <v>62</v>
      </c>
      <c r="Z140" s="2">
        <f>HLOOKUP(Z$116,$BR$116:$BV$183,BH140,FALSE)</f>
        <v>1</v>
      </c>
      <c r="AA140" s="35">
        <f t="shared" si="16"/>
        <v>25</v>
      </c>
      <c r="AB140" s="35">
        <f>HLOOKUP(AB$116,Kostengegevens!$AK$74:$BN$135,Stappen!$AA140,FALSE)</f>
        <v>285.01244172221368</v>
      </c>
      <c r="AC140" s="35">
        <f>HLOOKUP(AC$116,Kostengegevens!$AK$74:$BN$135,Stappen!$AA140,FALSE)</f>
        <v>0</v>
      </c>
      <c r="AD140" s="35">
        <f>HLOOKUP(AD$116,Kostengegevens!$AK$74:$BN$135,Stappen!$AA140,FALSE)</f>
        <v>0</v>
      </c>
      <c r="AE140" s="35">
        <f>HLOOKUP(AE$116,Kostengegevens!$AK$74:$BN$135,Stappen!$AA140,FALSE)</f>
        <v>0</v>
      </c>
      <c r="AF140" s="3"/>
      <c r="AG140" s="35">
        <f>HLOOKUP(AG$116+10,Kostengegevens!$AK$74:$BN$135,Stappen!$AA140,FALSE)</f>
        <v>57.340884444434778</v>
      </c>
      <c r="AH140" s="35">
        <f>HLOOKUP(AH$116+10,Kostengegevens!$AK$74:$BN$135,Stappen!$AA140,FALSE)</f>
        <v>0</v>
      </c>
      <c r="AI140" s="35">
        <f>HLOOKUP(AI$116+10,Kostengegevens!$AK$74:$BN$135,Stappen!$AA140,FALSE)</f>
        <v>0</v>
      </c>
      <c r="AJ140" s="35">
        <f>HLOOKUP(AJ$116+10,Kostengegevens!$AK$74:$BN$135,Stappen!$AA140,FALSE)</f>
        <v>0</v>
      </c>
      <c r="AK140" s="3"/>
      <c r="AL140" s="35">
        <f>HLOOKUP(AL$116+20,Kostengegevens!$AK$74:$BN$135,Stappen!$AA140,FALSE)</f>
        <v>184.91641172220488</v>
      </c>
      <c r="AM140" s="35">
        <f>HLOOKUP(AM$116+20,Kostengegevens!$AK$74:$BN$135,Stappen!$AA140,FALSE)</f>
        <v>0</v>
      </c>
      <c r="AN140" s="35">
        <f>HLOOKUP(AN$116+20,Kostengegevens!$AK$74:$BN$135,Stappen!$AA140,FALSE)</f>
        <v>0</v>
      </c>
      <c r="AO140" s="35">
        <f>HLOOKUP(AO$116+20,Kostengegevens!$AK$74:$BN$135,Stappen!$AA140,FALSE)</f>
        <v>0</v>
      </c>
      <c r="AP140" s="3"/>
      <c r="AQ140" s="35">
        <f>HLOOKUP(AQ$116+30,Kostengegevens!$AK$74:$BN$135,Stappen!$AA140,FALSE)</f>
        <v>1737.9806702779606</v>
      </c>
      <c r="AR140" s="35">
        <f>HLOOKUP(AR$116+30,Kostengegevens!$AK$74:$BN$135,Stappen!$AA140,FALSE)</f>
        <v>0</v>
      </c>
      <c r="AS140" s="35">
        <f>HLOOKUP(AS$116+30,Kostengegevens!$AK$74:$BN$135,Stappen!$AA140,FALSE)</f>
        <v>0</v>
      </c>
      <c r="AT140" s="35">
        <f>HLOOKUP(AT$116+30,Kostengegevens!$AK$74:$BN$135,Stappen!$AA140,FALSE)</f>
        <v>0</v>
      </c>
      <c r="AU140" s="3"/>
      <c r="AV140" s="35">
        <f>HLOOKUP(AV$116+40,Kostengegevens!$AK$74:$BN$135,Stappen!$AA140,FALSE)</f>
        <v>33.934647555553966</v>
      </c>
      <c r="AW140" s="35">
        <f>HLOOKUP(AW$116+40,Kostengegevens!$AK$74:$BN$135,Stappen!$AA140,FALSE)</f>
        <v>0</v>
      </c>
      <c r="AX140" s="35">
        <f>HLOOKUP(AX$116+40,Kostengegevens!$AK$74:$BN$135,Stappen!$AA140,FALSE)</f>
        <v>0</v>
      </c>
      <c r="AY140" s="35">
        <f>HLOOKUP(AY$116+40,Kostengegevens!$AK$74:$BN$135,Stappen!$AA140,FALSE)</f>
        <v>0</v>
      </c>
      <c r="AZ140" s="3"/>
      <c r="BA140" s="35">
        <f>HLOOKUP(BA$116+50,Kostengegevens!$AK$74:$BN$135,Stappen!$AA140,FALSE)</f>
        <v>39.002326911114835</v>
      </c>
      <c r="BB140" s="35">
        <f>HLOOKUP(BB$116+50,Kostengegevens!$AK$74:$BN$135,Stappen!$AA140,FALSE)</f>
        <v>0</v>
      </c>
      <c r="BC140" s="35">
        <f>HLOOKUP(BC$116+50,Kostengegevens!$AK$74:$BN$135,Stappen!$AA140,FALSE)</f>
        <v>0</v>
      </c>
      <c r="BD140" s="35">
        <f>HLOOKUP(BD$116+50,Kostengegevens!$AK$74:$BN$135,Stappen!$AA140,FALSE)</f>
        <v>0</v>
      </c>
      <c r="BE140" s="3"/>
      <c r="BG140" s="2">
        <v>7</v>
      </c>
      <c r="BH140" s="57">
        <v>25</v>
      </c>
      <c r="BI140" s="56">
        <f>BJ140</f>
        <v>14.018691588785046</v>
      </c>
      <c r="BJ140" s="56">
        <f>HLOOKUP(Stappen!BJ$116,Stappen!$BL$116:$BP$178,BH140,FALSE)*VLOOKUP($BG140,Stappen!$BH$24:$BJ$46,3,FALSE)</f>
        <v>14.018691588785046</v>
      </c>
      <c r="BK140" s="62" t="s">
        <v>22</v>
      </c>
      <c r="BL140" s="61">
        <f>Stappen!BL140</f>
        <v>0</v>
      </c>
      <c r="BM140" s="61">
        <f>Stappen!BM140</f>
        <v>9.3457943925233641E-2</v>
      </c>
      <c r="BN140" s="61">
        <f>Stappen!BN140</f>
        <v>0</v>
      </c>
      <c r="BO140" s="61">
        <f>Stappen!BO140</f>
        <v>0</v>
      </c>
      <c r="BP140" s="61">
        <f>Stappen!BP140</f>
        <v>0</v>
      </c>
      <c r="BR140" s="56">
        <f>Stappen!BR140</f>
        <v>5</v>
      </c>
      <c r="BS140" s="56">
        <f>Stappen!BS140</f>
        <v>1</v>
      </c>
      <c r="BT140" s="56">
        <f>Stappen!BT140</f>
        <v>5</v>
      </c>
      <c r="BU140" s="56">
        <f>Stappen!BU140</f>
        <v>5</v>
      </c>
      <c r="BV140" s="56">
        <f>Stappen!BV140</f>
        <v>0</v>
      </c>
    </row>
    <row r="141" spans="1:74" x14ac:dyDescent="0.2">
      <c r="A141" s="113"/>
      <c r="B141" s="114">
        <v>33</v>
      </c>
      <c r="C141" s="236" t="s">
        <v>307</v>
      </c>
      <c r="D141" s="191"/>
      <c r="E141" s="244"/>
      <c r="F141" s="127">
        <f>BI141</f>
        <v>4.2056074766355138</v>
      </c>
      <c r="G141" s="127"/>
      <c r="H141" s="133" t="s">
        <v>22</v>
      </c>
      <c r="I141" s="128"/>
      <c r="J141" s="134">
        <f>HLOOKUP($Z141,$AB$116:$AF$183,$AA141,FALSE)*$F141</f>
        <v>92.652336448685602</v>
      </c>
      <c r="K141" s="129">
        <f t="shared" si="11"/>
        <v>36.977803738239423</v>
      </c>
      <c r="L141" s="130">
        <f t="shared" si="12"/>
        <v>64.888317757025007</v>
      </c>
      <c r="M141" s="131">
        <f t="shared" si="13"/>
        <v>331.5876168220592</v>
      </c>
      <c r="N141" s="129">
        <f t="shared" si="14"/>
        <v>48.78785046726361</v>
      </c>
      <c r="O141" s="130">
        <f t="shared" si="15"/>
        <v>2.2587616822250385</v>
      </c>
      <c r="T141" s="91" t="str">
        <f>HLOOKUP(Z141,$U$116:$Y$183,AA141,FALSE)</f>
        <v>2 randafwerking vide (woningbouw)</v>
      </c>
      <c r="U141" s="263" t="s">
        <v>107</v>
      </c>
      <c r="V141" s="263" t="s">
        <v>108</v>
      </c>
      <c r="W141" s="263" t="s">
        <v>109</v>
      </c>
      <c r="X141" s="263" t="s">
        <v>110</v>
      </c>
      <c r="Y141" s="263" t="s">
        <v>62</v>
      </c>
      <c r="Z141" s="2">
        <f>HLOOKUP(Z$116,$BR$116:$BV$183,BH141,FALSE)</f>
        <v>2</v>
      </c>
      <c r="AA141" s="35">
        <f t="shared" si="16"/>
        <v>26</v>
      </c>
      <c r="AB141" s="35">
        <f>HLOOKUP(AB$116,Kostengegevens!$AK$74:$BN$135,Stappen!$AA141,FALSE)</f>
        <v>301.38333333355467</v>
      </c>
      <c r="AC141" s="35">
        <f>HLOOKUP(AC$116,Kostengegevens!$AK$74:$BN$135,Stappen!$AA141,FALSE)</f>
        <v>22.030666666687466</v>
      </c>
      <c r="AD141" s="35">
        <f>HLOOKUP(AD$116,Kostengegevens!$AK$74:$BN$135,Stappen!$AA141,FALSE)</f>
        <v>165.52875999989919</v>
      </c>
      <c r="AE141" s="35">
        <f>HLOOKUP(AE$116,Kostengegevens!$AK$74:$BN$135,Stappen!$AA141,FALSE)</f>
        <v>165.52875999989942</v>
      </c>
      <c r="AF141" s="3"/>
      <c r="AG141" s="35">
        <f>HLOOKUP(AG$116+10,Kostengegevens!$AK$74:$BN$135,Stappen!$AA141,FALSE)</f>
        <v>109.88541666665697</v>
      </c>
      <c r="AH141" s="35">
        <f>HLOOKUP(AH$116+10,Kostengegevens!$AK$74:$BN$135,Stappen!$AA141,FALSE)</f>
        <v>8.7924999999813735</v>
      </c>
      <c r="AI141" s="35">
        <f>HLOOKUP(AI$116+10,Kostengegevens!$AK$74:$BN$135,Stappen!$AA141,FALSE)</f>
        <v>53.243550000013784</v>
      </c>
      <c r="AJ141" s="35">
        <f>HLOOKUP(AJ$116+10,Kostengegevens!$AK$74:$BN$135,Stappen!$AA141,FALSE)</f>
        <v>53.243550000013784</v>
      </c>
      <c r="AK141" s="3"/>
      <c r="AL141" s="35">
        <f>HLOOKUP(AL$116+20,Kostengegevens!$AK$74:$BN$135,Stappen!$AA141,FALSE)</f>
        <v>185.98749999946449</v>
      </c>
      <c r="AM141" s="35">
        <f>HLOOKUP(AM$116+20,Kostengegevens!$AK$74:$BN$135,Stappen!$AA141,FALSE)</f>
        <v>15.429000000003725</v>
      </c>
      <c r="AN141" s="35">
        <f>HLOOKUP(AN$116+20,Kostengegevens!$AK$74:$BN$135,Stappen!$AA141,FALSE)</f>
        <v>118.51576000009686</v>
      </c>
      <c r="AO141" s="35">
        <f>HLOOKUP(AO$116+20,Kostengegevens!$AK$74:$BN$135,Stappen!$AA141,FALSE)</f>
        <v>118.51576000009663</v>
      </c>
      <c r="AP141" s="3"/>
      <c r="AQ141" s="35">
        <f>HLOOKUP(AQ$116+30,Kostengegevens!$AK$74:$BN$135,Stappen!$AA141,FALSE)</f>
        <v>1668.8645833404735</v>
      </c>
      <c r="AR141" s="35">
        <f>HLOOKUP(AR$116+30,Kostengegevens!$AK$74:$BN$135,Stappen!$AA141,FALSE)</f>
        <v>78.844166666578531</v>
      </c>
      <c r="AS141" s="35">
        <f>HLOOKUP(AS$116+30,Kostengegevens!$AK$74:$BN$135,Stappen!$AA141,FALSE)</f>
        <v>534.93154999986291</v>
      </c>
      <c r="AT141" s="35">
        <f>HLOOKUP(AT$116+30,Kostengegevens!$AK$74:$BN$135,Stappen!$AA141,FALSE)</f>
        <v>534.93154999986291</v>
      </c>
      <c r="AU141" s="3"/>
      <c r="AV141" s="35">
        <f>HLOOKUP(AV$116+40,Kostengegevens!$AK$74:$BN$135,Stappen!$AA141,FALSE)</f>
        <v>112.59166666665499</v>
      </c>
      <c r="AW141" s="35">
        <f>HLOOKUP(AW$116+40,Kostengegevens!$AK$74:$BN$135,Stappen!$AA141,FALSE)</f>
        <v>11.600666666660459</v>
      </c>
      <c r="AX141" s="35">
        <f>HLOOKUP(AX$116+40,Kostengegevens!$AK$74:$BN$135,Stappen!$AA141,FALSE)</f>
        <v>91.199759999988601</v>
      </c>
      <c r="AY141" s="35">
        <f>HLOOKUP(AY$116+40,Kostengegevens!$AK$74:$BN$135,Stappen!$AA141,FALSE)</f>
        <v>91.199759999988601</v>
      </c>
      <c r="AZ141" s="3"/>
      <c r="BA141" s="35">
        <f>HLOOKUP(BA$116+50,Kostengegevens!$AK$74:$BN$135,Stappen!$AA141,FALSE)</f>
        <v>77.354583333241521</v>
      </c>
      <c r="BB141" s="35">
        <f>HLOOKUP(BB$116+50,Kostengegevens!$AK$74:$BN$135,Stappen!$AA141,FALSE)</f>
        <v>0.53708333332906477</v>
      </c>
      <c r="BC141" s="35">
        <f>HLOOKUP(BC$116+50,Kostengegevens!$AK$74:$BN$135,Stappen!$AA141,FALSE)</f>
        <v>2.9544999999925494</v>
      </c>
      <c r="BD141" s="35">
        <f>HLOOKUP(BD$116+50,Kostengegevens!$AK$74:$BN$135,Stappen!$AA141,FALSE)</f>
        <v>2.9544999999925494</v>
      </c>
      <c r="BE141" s="3"/>
      <c r="BG141" s="2">
        <v>7</v>
      </c>
      <c r="BH141" s="57">
        <v>26</v>
      </c>
      <c r="BI141" s="56">
        <f>BJ141</f>
        <v>4.2056074766355138</v>
      </c>
      <c r="BJ141" s="56">
        <f>HLOOKUP(Stappen!BJ$116,Stappen!$BL$116:$BP$178,BH141,FALSE)*VLOOKUP($BG141,Stappen!$BH$24:$BJ$46,3,FALSE)</f>
        <v>4.2056074766355138</v>
      </c>
      <c r="BK141" s="62" t="s">
        <v>22</v>
      </c>
      <c r="BL141" s="61">
        <f>Stappen!BL141</f>
        <v>3.8876889848812095E-2</v>
      </c>
      <c r="BM141" s="61">
        <f>Stappen!BM141</f>
        <v>2.8037383177570093E-2</v>
      </c>
      <c r="BN141" s="61">
        <f>Stappen!BN141</f>
        <v>8.5427135678391955E-2</v>
      </c>
      <c r="BO141" s="61">
        <f>Stappen!BO141</f>
        <v>2.1910604732690624E-2</v>
      </c>
      <c r="BP141" s="61">
        <f>Stappen!BP141</f>
        <v>3.8876889848812095E-2</v>
      </c>
      <c r="BR141" s="56">
        <f>Stappen!BR141</f>
        <v>2</v>
      </c>
      <c r="BS141" s="56">
        <f>Stappen!BS141</f>
        <v>2</v>
      </c>
      <c r="BT141" s="56">
        <f>Stappen!BT141</f>
        <v>3</v>
      </c>
      <c r="BU141" s="56">
        <f>Stappen!BU141</f>
        <v>3</v>
      </c>
      <c r="BV141" s="56">
        <f>Stappen!BV141</f>
        <v>0</v>
      </c>
    </row>
    <row r="142" spans="1:74" x14ac:dyDescent="0.2">
      <c r="A142" s="113"/>
      <c r="B142" s="114">
        <v>43</v>
      </c>
      <c r="C142" s="236" t="s">
        <v>308</v>
      </c>
      <c r="D142" s="191"/>
      <c r="E142" s="244"/>
      <c r="F142" s="127">
        <f>BI142</f>
        <v>148.5981308411215</v>
      </c>
      <c r="G142" s="127"/>
      <c r="H142" s="133" t="s">
        <v>22</v>
      </c>
      <c r="I142" s="128"/>
      <c r="J142" s="134">
        <f>HLOOKUP($Z142,$AB$116:$AF$183,$AA142,FALSE)*$F142</f>
        <v>2861.9494766286466</v>
      </c>
      <c r="K142" s="129">
        <f t="shared" si="11"/>
        <v>392.38822429741924</v>
      </c>
      <c r="L142" s="130">
        <f t="shared" si="12"/>
        <v>1563.3206916044899</v>
      </c>
      <c r="M142" s="131">
        <f t="shared" si="13"/>
        <v>18548.434766506227</v>
      </c>
      <c r="N142" s="129">
        <f t="shared" si="14"/>
        <v>501.00751401832662</v>
      </c>
      <c r="O142" s="130">
        <f t="shared" si="15"/>
        <v>133.82747663481251</v>
      </c>
      <c r="T142" s="91" t="str">
        <f>HLOOKUP(Z142,$U$116:$Y$183,AA142,FALSE)</f>
        <v>1 woningbouw: cem.dekvloer, tegels</v>
      </c>
      <c r="U142" s="263" t="s">
        <v>339</v>
      </c>
      <c r="V142" s="263" t="s">
        <v>357</v>
      </c>
      <c r="W142" s="263" t="s">
        <v>358</v>
      </c>
      <c r="X142" s="263" t="s">
        <v>116</v>
      </c>
      <c r="Y142" s="263" t="s">
        <v>62</v>
      </c>
      <c r="Z142" s="2">
        <f>HLOOKUP(Z$116,$BR$116:$BV$183,BH142,FALSE)</f>
        <v>1</v>
      </c>
      <c r="AA142" s="35">
        <f t="shared" si="16"/>
        <v>27</v>
      </c>
      <c r="AB142" s="35">
        <f>HLOOKUP(AB$116,Kostengegevens!$AK$74:$BN$135,Stappen!$AA142,FALSE)</f>
        <v>19.259659999953783</v>
      </c>
      <c r="AC142" s="35">
        <f>HLOOKUP(AC$116,Kostengegevens!$AK$74:$BN$135,Stappen!$AA142,FALSE)</f>
        <v>17.861659999971835</v>
      </c>
      <c r="AD142" s="35">
        <f>HLOOKUP(AD$116,Kostengegevens!$AK$74:$BN$135,Stappen!$AA142,FALSE)</f>
        <v>56.377299999978732</v>
      </c>
      <c r="AE142" s="35">
        <f>HLOOKUP(AE$116,Kostengegevens!$AK$74:$BN$135,Stappen!$AA142,FALSE)</f>
        <v>48.571859999976823</v>
      </c>
      <c r="AF142" s="3"/>
      <c r="AG142" s="35">
        <f>HLOOKUP(AG$116+10,Kostengegevens!$AK$74:$BN$135,Stappen!$AA142,FALSE)</f>
        <v>2.6405999999889218</v>
      </c>
      <c r="AH142" s="35">
        <f>HLOOKUP(AH$116+10,Kostengegevens!$AK$74:$BN$135,Stappen!$AA142,FALSE)</f>
        <v>2.570849999990287</v>
      </c>
      <c r="AI142" s="35">
        <f>HLOOKUP(AI$116+10,Kostengegevens!$AK$74:$BN$135,Stappen!$AA142,FALSE)</f>
        <v>12.098299999993742</v>
      </c>
      <c r="AJ142" s="35">
        <f>HLOOKUP(AJ$116+10,Kostengegevens!$AK$74:$BN$135,Stappen!$AA142,FALSE)</f>
        <v>10.130749999971499</v>
      </c>
      <c r="AK142" s="3"/>
      <c r="AL142" s="35">
        <f>HLOOKUP(AL$116+20,Kostengegevens!$AK$74:$BN$135,Stappen!$AA142,FALSE)</f>
        <v>10.520460000105686</v>
      </c>
      <c r="AM142" s="35">
        <f>HLOOKUP(AM$116+20,Kostengegevens!$AK$74:$BN$135,Stappen!$AA142,FALSE)</f>
        <v>9.9612600000878047</v>
      </c>
      <c r="AN142" s="35">
        <f>HLOOKUP(AN$116+20,Kostengegevens!$AK$74:$BN$135,Stappen!$AA142,FALSE)</f>
        <v>40.972400000046036</v>
      </c>
      <c r="AO142" s="35">
        <f>HLOOKUP(AO$116+20,Kostengegevens!$AK$74:$BN$135,Stappen!$AA142,FALSE)</f>
        <v>34.352959999910126</v>
      </c>
      <c r="AP142" s="3"/>
      <c r="AQ142" s="35">
        <f>HLOOKUP(AQ$116+30,Kostengegevens!$AK$74:$BN$135,Stappen!$AA142,FALSE)</f>
        <v>124.82280000101673</v>
      </c>
      <c r="AR142" s="35">
        <f>HLOOKUP(AR$116+30,Kostengegevens!$AK$74:$BN$135,Stappen!$AA142,FALSE)</f>
        <v>124.75305000092703</v>
      </c>
      <c r="AS142" s="35">
        <f>HLOOKUP(AS$116+30,Kostengegevens!$AK$74:$BN$135,Stappen!$AA142,FALSE)</f>
        <v>639.92180000174994</v>
      </c>
      <c r="AT142" s="35">
        <f>HLOOKUP(AT$116+30,Kostengegevens!$AK$74:$BN$135,Stappen!$AA142,FALSE)</f>
        <v>531.38185000065641</v>
      </c>
      <c r="AU142" s="3"/>
      <c r="AV142" s="35">
        <f>HLOOKUP(AV$116+40,Kostengegevens!$AK$74:$BN$135,Stappen!$AA142,FALSE)</f>
        <v>3.3715599999975439</v>
      </c>
      <c r="AW142" s="35">
        <f>HLOOKUP(AW$116+40,Kostengegevens!$AK$74:$BN$135,Stappen!$AA142,FALSE)</f>
        <v>2.8123600000005808</v>
      </c>
      <c r="AX142" s="35">
        <f>HLOOKUP(AX$116+40,Kostengegevens!$AK$74:$BN$135,Stappen!$AA142,FALSE)</f>
        <v>6.1256999999957316</v>
      </c>
      <c r="AY142" s="35">
        <f>HLOOKUP(AY$116+40,Kostengegevens!$AK$74:$BN$135,Stappen!$AA142,FALSE)</f>
        <v>5.327460000011115</v>
      </c>
      <c r="AZ142" s="3"/>
      <c r="BA142" s="35">
        <f>HLOOKUP(BA$116+50,Kostengegevens!$AK$74:$BN$135,Stappen!$AA142,FALSE)</f>
        <v>0.90059999999527918</v>
      </c>
      <c r="BB142" s="35">
        <f>HLOOKUP(BB$116+50,Kostengegevens!$AK$74:$BN$135,Stappen!$AA142,FALSE)</f>
        <v>0.90059999999880347</v>
      </c>
      <c r="BC142" s="35">
        <f>HLOOKUP(BC$116+50,Kostengegevens!$AK$74:$BN$135,Stappen!$AA142,FALSE)</f>
        <v>11.867954999980896</v>
      </c>
      <c r="BD142" s="35">
        <f>HLOOKUP(BD$116+50,Kostengegevens!$AK$74:$BN$135,Stappen!$AA142,FALSE)</f>
        <v>9.5018989999854284</v>
      </c>
      <c r="BE142" s="3"/>
      <c r="BG142" s="2">
        <v>7</v>
      </c>
      <c r="BH142" s="57">
        <v>27</v>
      </c>
      <c r="BI142" s="56">
        <f>BJ142</f>
        <v>148.5981308411215</v>
      </c>
      <c r="BJ142" s="56">
        <f>HLOOKUP(Stappen!BJ$116,Stappen!$BL$116:$BP$178,BH142,FALSE)*VLOOKUP($BG142,Stappen!$BH$24:$BJ$46,3,FALSE)</f>
        <v>148.5981308411215</v>
      </c>
      <c r="BK142" s="62" t="s">
        <v>22</v>
      </c>
      <c r="BL142" s="61">
        <f>Stappen!BL142</f>
        <v>0.90064794816414684</v>
      </c>
      <c r="BM142" s="61">
        <f>Stappen!BM142</f>
        <v>0.99065420560747663</v>
      </c>
      <c r="BN142" s="61">
        <f>Stappen!BN142</f>
        <v>0.90703517587939697</v>
      </c>
      <c r="BO142" s="61">
        <f>Stappen!BO142</f>
        <v>0.89833479404031547</v>
      </c>
      <c r="BP142" s="61">
        <f>Stappen!BP142</f>
        <v>0.90064794816414684</v>
      </c>
      <c r="BR142" s="56">
        <f>Stappen!BR142</f>
        <v>1</v>
      </c>
      <c r="BS142" s="56">
        <f>Stappen!BS142</f>
        <v>1</v>
      </c>
      <c r="BT142" s="56">
        <f>Stappen!BT142</f>
        <v>2</v>
      </c>
      <c r="BU142" s="56">
        <f>Stappen!BU142</f>
        <v>2</v>
      </c>
      <c r="BV142" s="56">
        <f>Stappen!BV142</f>
        <v>0</v>
      </c>
    </row>
    <row r="143" spans="1:74" x14ac:dyDescent="0.2">
      <c r="A143" s="120" t="s">
        <v>169</v>
      </c>
      <c r="B143" s="114"/>
      <c r="C143" s="235" t="s">
        <v>238</v>
      </c>
      <c r="D143" s="191"/>
      <c r="E143" s="133"/>
      <c r="F143" s="133"/>
      <c r="G143" s="133"/>
      <c r="H143" s="133"/>
      <c r="I143" s="128"/>
      <c r="J143" s="134"/>
      <c r="K143" s="129"/>
      <c r="L143" s="130"/>
      <c r="M143" s="131"/>
      <c r="N143" s="129"/>
      <c r="O143" s="130"/>
      <c r="P143" s="84"/>
      <c r="T143" s="91"/>
      <c r="U143" s="263"/>
      <c r="V143" s="263"/>
      <c r="W143" s="263"/>
      <c r="X143" s="263"/>
      <c r="Y143" s="263"/>
      <c r="AA143" s="35">
        <f t="shared" si="16"/>
        <v>28</v>
      </c>
      <c r="AB143" s="35">
        <f>HLOOKUP(AB$116,Kostengegevens!$AK$74:$BN$135,Stappen!$AA143,FALSE)</f>
        <v>0</v>
      </c>
      <c r="AC143" s="35">
        <f>HLOOKUP(AC$116,Kostengegevens!$AK$74:$BN$135,Stappen!$AA143,FALSE)</f>
        <v>0</v>
      </c>
      <c r="AD143" s="35">
        <f>HLOOKUP(AD$116,Kostengegevens!$AK$74:$BN$135,Stappen!$AA143,FALSE)</f>
        <v>0</v>
      </c>
      <c r="AE143" s="35">
        <f>HLOOKUP(AE$116,Kostengegevens!$AK$74:$BN$135,Stappen!$AA143,FALSE)</f>
        <v>0</v>
      </c>
      <c r="AF143" s="3"/>
      <c r="AG143" s="35">
        <f>HLOOKUP(AG$116+10,Kostengegevens!$AK$74:$BN$135,Stappen!$AA143,FALSE)</f>
        <v>0</v>
      </c>
      <c r="AH143" s="35">
        <f>HLOOKUP(AH$116+10,Kostengegevens!$AK$74:$BN$135,Stappen!$AA143,FALSE)</f>
        <v>0</v>
      </c>
      <c r="AI143" s="35">
        <f>HLOOKUP(AI$116+10,Kostengegevens!$AK$74:$BN$135,Stappen!$AA143,FALSE)</f>
        <v>0</v>
      </c>
      <c r="AJ143" s="35">
        <f>HLOOKUP(AJ$116+10,Kostengegevens!$AK$74:$BN$135,Stappen!$AA143,FALSE)</f>
        <v>0</v>
      </c>
      <c r="AK143" s="3"/>
      <c r="AL143" s="35">
        <f>HLOOKUP(AL$116+20,Kostengegevens!$AK$74:$BN$135,Stappen!$AA143,FALSE)</f>
        <v>0</v>
      </c>
      <c r="AM143" s="35">
        <f>HLOOKUP(AM$116+20,Kostengegevens!$AK$74:$BN$135,Stappen!$AA143,FALSE)</f>
        <v>0</v>
      </c>
      <c r="AN143" s="35">
        <f>HLOOKUP(AN$116+20,Kostengegevens!$AK$74:$BN$135,Stappen!$AA143,FALSE)</f>
        <v>0</v>
      </c>
      <c r="AO143" s="35">
        <f>HLOOKUP(AO$116+20,Kostengegevens!$AK$74:$BN$135,Stappen!$AA143,FALSE)</f>
        <v>0</v>
      </c>
      <c r="AP143" s="3"/>
      <c r="AQ143" s="35">
        <f>HLOOKUP(AQ$116+30,Kostengegevens!$AK$74:$BN$135,Stappen!$AA143,FALSE)</f>
        <v>0</v>
      </c>
      <c r="AR143" s="35">
        <f>HLOOKUP(AR$116+30,Kostengegevens!$AK$74:$BN$135,Stappen!$AA143,FALSE)</f>
        <v>0</v>
      </c>
      <c r="AS143" s="35">
        <f>HLOOKUP(AS$116+30,Kostengegevens!$AK$74:$BN$135,Stappen!$AA143,FALSE)</f>
        <v>0</v>
      </c>
      <c r="AT143" s="35">
        <f>HLOOKUP(AT$116+30,Kostengegevens!$AK$74:$BN$135,Stappen!$AA143,FALSE)</f>
        <v>0</v>
      </c>
      <c r="AU143" s="3"/>
      <c r="AV143" s="35">
        <f>HLOOKUP(AV$116+40,Kostengegevens!$AK$74:$BN$135,Stappen!$AA143,FALSE)</f>
        <v>0</v>
      </c>
      <c r="AW143" s="35">
        <f>HLOOKUP(AW$116+40,Kostengegevens!$AK$74:$BN$135,Stappen!$AA143,FALSE)</f>
        <v>0</v>
      </c>
      <c r="AX143" s="35">
        <f>HLOOKUP(AX$116+40,Kostengegevens!$AK$74:$BN$135,Stappen!$AA143,FALSE)</f>
        <v>0</v>
      </c>
      <c r="AY143" s="35">
        <f>HLOOKUP(AY$116+40,Kostengegevens!$AK$74:$BN$135,Stappen!$AA143,FALSE)</f>
        <v>0</v>
      </c>
      <c r="AZ143" s="3"/>
      <c r="BA143" s="35">
        <f>HLOOKUP(BA$116+50,Kostengegevens!$AK$74:$BN$135,Stappen!$AA143,FALSE)</f>
        <v>0</v>
      </c>
      <c r="BB143" s="35">
        <f>HLOOKUP(BB$116+50,Kostengegevens!$AK$74:$BN$135,Stappen!$AA143,FALSE)</f>
        <v>0</v>
      </c>
      <c r="BC143" s="35">
        <f>HLOOKUP(BC$116+50,Kostengegevens!$AK$74:$BN$135,Stappen!$AA143,FALSE)</f>
        <v>0</v>
      </c>
      <c r="BD143" s="35">
        <f>HLOOKUP(BD$116+50,Kostengegevens!$AK$74:$BN$135,Stappen!$AA143,FALSE)</f>
        <v>0</v>
      </c>
      <c r="BE143" s="3"/>
      <c r="BH143" s="57">
        <v>28</v>
      </c>
      <c r="BI143" s="56"/>
      <c r="BJ143" s="56"/>
      <c r="BK143" s="62"/>
      <c r="BL143" s="61"/>
      <c r="BM143" s="61"/>
      <c r="BN143" s="61"/>
      <c r="BO143" s="61"/>
      <c r="BP143" s="61"/>
      <c r="BR143" s="56"/>
      <c r="BS143" s="56"/>
      <c r="BT143" s="56"/>
      <c r="BU143" s="56"/>
      <c r="BV143" s="56"/>
    </row>
    <row r="144" spans="1:74" x14ac:dyDescent="0.2">
      <c r="A144" s="113"/>
      <c r="B144" s="114">
        <v>24</v>
      </c>
      <c r="C144" s="236" t="s">
        <v>309</v>
      </c>
      <c r="D144" s="191"/>
      <c r="E144" s="244"/>
      <c r="F144" s="127">
        <f>BI144</f>
        <v>2.8037383177570092</v>
      </c>
      <c r="G144" s="127"/>
      <c r="H144" s="133" t="s">
        <v>22</v>
      </c>
      <c r="I144" s="128"/>
      <c r="J144" s="134">
        <f t="shared" ref="J144:J148" si="18">HLOOKUP($Z144,$AB$116:$AF$183,$AA144,FALSE)*$F144</f>
        <v>1589.4479168223415</v>
      </c>
      <c r="K144" s="129">
        <f t="shared" si="11"/>
        <v>420.73561214956675</v>
      </c>
      <c r="L144" s="130">
        <f t="shared" si="12"/>
        <v>1138.1119822427761</v>
      </c>
      <c r="M144" s="131">
        <f t="shared" si="13"/>
        <v>12155.788766355476</v>
      </c>
      <c r="N144" s="129">
        <f t="shared" si="14"/>
        <v>285.29639813082997</v>
      </c>
      <c r="O144" s="130">
        <f t="shared" si="15"/>
        <v>164.84408878502333</v>
      </c>
      <c r="T144" s="91" t="str">
        <f>HLOOKUP(Z144,$U$116:$Y$183,AA144,FALSE)</f>
        <v>3 prefab-beton met bordessen (6m2/st)</v>
      </c>
      <c r="U144" s="263" t="s">
        <v>145</v>
      </c>
      <c r="V144" s="263" t="s">
        <v>359</v>
      </c>
      <c r="W144" s="263" t="s">
        <v>360</v>
      </c>
      <c r="X144" s="263" t="s">
        <v>361</v>
      </c>
      <c r="Y144" s="263" t="s">
        <v>62</v>
      </c>
      <c r="Z144" s="2">
        <f>HLOOKUP(Z$116,$BR$116:$BV$183,BH144,FALSE)</f>
        <v>3</v>
      </c>
      <c r="AA144" s="35">
        <f t="shared" si="16"/>
        <v>29</v>
      </c>
      <c r="AB144" s="35">
        <f>HLOOKUP(AB$116,Kostengegevens!$AK$74:$BN$135,Stappen!$AA144,FALSE)</f>
        <v>529.21908299997449</v>
      </c>
      <c r="AC144" s="35">
        <f>HLOOKUP(AC$116,Kostengegevens!$AK$74:$BN$135,Stappen!$AA144,FALSE)</f>
        <v>395.31234571424193</v>
      </c>
      <c r="AD144" s="35">
        <f>HLOOKUP(AD$116,Kostengegevens!$AK$74:$BN$135,Stappen!$AA144,FALSE)</f>
        <v>566.90309033330186</v>
      </c>
      <c r="AE144" s="35">
        <f>HLOOKUP(AE$116,Kostengegevens!$AK$74:$BN$135,Stappen!$AA144,FALSE)</f>
        <v>813.71834666665336</v>
      </c>
      <c r="AF144" s="3"/>
      <c r="AG144" s="35">
        <f>HLOOKUP(AG$116+10,Kostengegevens!$AK$74:$BN$135,Stappen!$AA144,FALSE)</f>
        <v>146.30236599999478</v>
      </c>
      <c r="AH144" s="35">
        <f>HLOOKUP(AH$116+10,Kostengegevens!$AK$74:$BN$135,Stappen!$AA144,FALSE)</f>
        <v>58.275834285712335</v>
      </c>
      <c r="AI144" s="35">
        <f>HLOOKUP(AI$116+10,Kostengegevens!$AK$74:$BN$135,Stappen!$AA144,FALSE)</f>
        <v>150.06236833334549</v>
      </c>
      <c r="AJ144" s="35">
        <f>HLOOKUP(AJ$116+10,Kostengegevens!$AK$74:$BN$135,Stappen!$AA144,FALSE)</f>
        <v>271.35353333332944</v>
      </c>
      <c r="AK144" s="3"/>
      <c r="AL144" s="35">
        <f>HLOOKUP(AL$116+20,Kostengegevens!$AK$74:$BN$135,Stappen!$AA144,FALSE)</f>
        <v>109.21004100004211</v>
      </c>
      <c r="AM144" s="35">
        <f>HLOOKUP(AM$116+20,Kostengegevens!$AK$74:$BN$135,Stappen!$AA144,FALSE)</f>
        <v>88.862191428563392</v>
      </c>
      <c r="AN144" s="35">
        <f>HLOOKUP(AN$116+20,Kostengegevens!$AK$74:$BN$135,Stappen!$AA144,FALSE)</f>
        <v>405.92660699992348</v>
      </c>
      <c r="AO144" s="35">
        <f>HLOOKUP(AO$116+20,Kostengegevens!$AK$74:$BN$135,Stappen!$AA144,FALSE)</f>
        <v>538.88131333328761</v>
      </c>
      <c r="AP144" s="3"/>
      <c r="AQ144" s="35">
        <f>HLOOKUP(AQ$116+30,Kostengegevens!$AK$74:$BN$135,Stappen!$AA144,FALSE)</f>
        <v>1855.1751040004201</v>
      </c>
      <c r="AR144" s="35">
        <f>HLOOKUP(AR$116+30,Kostengegevens!$AK$74:$BN$135,Stappen!$AA144,FALSE)</f>
        <v>1337.2652799997995</v>
      </c>
      <c r="AS144" s="35">
        <f>HLOOKUP(AS$116+30,Kostengegevens!$AK$74:$BN$135,Stappen!$AA144,FALSE)</f>
        <v>4335.5646600001201</v>
      </c>
      <c r="AT144" s="35">
        <f>HLOOKUP(AT$116+30,Kostengegevens!$AK$74:$BN$135,Stappen!$AA144,FALSE)</f>
        <v>7880.1120999997474</v>
      </c>
      <c r="AU144" s="3"/>
      <c r="AV144" s="35">
        <f>HLOOKUP(AV$116+40,Kostengegevens!$AK$74:$BN$135,Stappen!$AA144,FALSE)</f>
        <v>9.6064179999987118</v>
      </c>
      <c r="AW144" s="35">
        <f>HLOOKUP(AW$116+40,Kostengegevens!$AK$74:$BN$135,Stappen!$AA144,FALSE)</f>
        <v>7.7270457142897158</v>
      </c>
      <c r="AX144" s="35">
        <f>HLOOKUP(AX$116+40,Kostengegevens!$AK$74:$BN$135,Stappen!$AA144,FALSE)</f>
        <v>101.75571533332936</v>
      </c>
      <c r="AY144" s="35">
        <f>HLOOKUP(AY$116+40,Kostengegevens!$AK$74:$BN$135,Stappen!$AA144,FALSE)</f>
        <v>78.00094666666314</v>
      </c>
      <c r="AZ144" s="3"/>
      <c r="BA144" s="35">
        <f>HLOOKUP(BA$116+50,Kostengegevens!$AK$74:$BN$135,Stappen!$AA144,FALSE)</f>
        <v>20.042552000004775</v>
      </c>
      <c r="BB144" s="35">
        <f>HLOOKUP(BB$116+50,Kostengegevens!$AK$74:$BN$135,Stappen!$AA144,FALSE)</f>
        <v>5.4212114285660959</v>
      </c>
      <c r="BC144" s="35">
        <f>HLOOKUP(BC$116+50,Kostengegevens!$AK$74:$BN$135,Stappen!$AA144,FALSE)</f>
        <v>58.794391666658328</v>
      </c>
      <c r="BD144" s="35">
        <f>HLOOKUP(BD$116+50,Kostengegevens!$AK$74:$BN$135,Stappen!$AA144,FALSE)</f>
        <v>72.42915000000113</v>
      </c>
      <c r="BE144" s="3"/>
      <c r="BG144" s="2">
        <v>8</v>
      </c>
      <c r="BH144" s="57">
        <v>29</v>
      </c>
      <c r="BI144" s="56">
        <f>BJ144</f>
        <v>2.8037383177570092</v>
      </c>
      <c r="BJ144" s="56">
        <f>HLOOKUP(Stappen!BJ$116,Stappen!$BL$116:$BP$178,BH144,FALSE)*VLOOKUP($BG144,Stappen!$BH$24:$BJ$46,3,FALSE)</f>
        <v>2.8037383177570092</v>
      </c>
      <c r="BK144" s="62" t="s">
        <v>22</v>
      </c>
      <c r="BL144" s="61">
        <f>Stappen!BL144</f>
        <v>4.5356371490280781E-2</v>
      </c>
      <c r="BM144" s="61">
        <f>Stappen!BM144</f>
        <v>1.8691588785046728E-2</v>
      </c>
      <c r="BN144" s="61">
        <f>Stappen!BN144</f>
        <v>2.0100502512562814E-2</v>
      </c>
      <c r="BO144" s="61">
        <f>Stappen!BO144</f>
        <v>1.8404907975460124E-2</v>
      </c>
      <c r="BP144" s="61">
        <f>Stappen!BP144</f>
        <v>7.4514038876889843E-2</v>
      </c>
      <c r="BR144" s="56">
        <f>Stappen!BR144</f>
        <v>2</v>
      </c>
      <c r="BS144" s="56">
        <f>Stappen!BS144</f>
        <v>3</v>
      </c>
      <c r="BT144" s="56">
        <f>Stappen!BT144</f>
        <v>4</v>
      </c>
      <c r="BU144" s="56">
        <f>Stappen!BU144</f>
        <v>4</v>
      </c>
      <c r="BV144" s="56">
        <f>Stappen!BV144</f>
        <v>0</v>
      </c>
    </row>
    <row r="145" spans="1:74" x14ac:dyDescent="0.2">
      <c r="A145" s="113"/>
      <c r="B145" s="114">
        <v>34</v>
      </c>
      <c r="C145" s="236" t="s">
        <v>310</v>
      </c>
      <c r="D145" s="191"/>
      <c r="E145" s="244"/>
      <c r="F145" s="127">
        <f>BI145</f>
        <v>11.214953271028037</v>
      </c>
      <c r="G145" s="127"/>
      <c r="H145" s="133" t="s">
        <v>26</v>
      </c>
      <c r="I145" s="128"/>
      <c r="J145" s="134">
        <f t="shared" si="18"/>
        <v>4407.0639252341507</v>
      </c>
      <c r="K145" s="129">
        <f t="shared" si="11"/>
        <v>799.64579439241083</v>
      </c>
      <c r="L145" s="130">
        <f t="shared" si="12"/>
        <v>2715.927476635045</v>
      </c>
      <c r="M145" s="131">
        <f t="shared" si="13"/>
        <v>43334.554205610642</v>
      </c>
      <c r="N145" s="129">
        <f t="shared" si="14"/>
        <v>421.78542056068756</v>
      </c>
      <c r="O145" s="130">
        <f t="shared" si="15"/>
        <v>316.35476635538379</v>
      </c>
      <c r="T145" s="91" t="str">
        <f>HLOOKUP(Z145,$U$116:$Y$183,AA145,FALSE)</f>
        <v>4 balkon- en traphekken: glasplaten</v>
      </c>
      <c r="U145" s="263" t="s">
        <v>111</v>
      </c>
      <c r="V145" s="263" t="s">
        <v>362</v>
      </c>
      <c r="W145" s="263" t="s">
        <v>112</v>
      </c>
      <c r="X145" s="263" t="s">
        <v>363</v>
      </c>
      <c r="Y145" s="263" t="s">
        <v>62</v>
      </c>
      <c r="Z145" s="2">
        <f>HLOOKUP(Z$116,$BR$116:$BV$183,BH145,FALSE)</f>
        <v>4</v>
      </c>
      <c r="AA145" s="35">
        <f t="shared" si="16"/>
        <v>30</v>
      </c>
      <c r="AB145" s="35">
        <f>HLOOKUP(AB$116,Kostengegevens!$AK$74:$BN$135,Stappen!$AA145,FALSE)</f>
        <v>153.26500000013039</v>
      </c>
      <c r="AC145" s="35">
        <f>HLOOKUP(AC$116,Kostengegevens!$AK$74:$BN$135,Stappen!$AA145,FALSE)</f>
        <v>119.75</v>
      </c>
      <c r="AD145" s="35">
        <f>HLOOKUP(AD$116,Kostengegevens!$AK$74:$BN$135,Stappen!$AA145,FALSE)</f>
        <v>140.92389999999432</v>
      </c>
      <c r="AE145" s="35">
        <f>HLOOKUP(AE$116,Kostengegevens!$AK$74:$BN$135,Stappen!$AA145,FALSE)</f>
        <v>392.96320000004516</v>
      </c>
      <c r="AF145" s="3"/>
      <c r="AG145" s="35">
        <f>HLOOKUP(AG$116+10,Kostengegevens!$AK$74:$BN$135,Stappen!$AA145,FALSE)</f>
        <v>48.57999999995809</v>
      </c>
      <c r="AH145" s="35">
        <f>HLOOKUP(AH$116+10,Kostengegevens!$AK$74:$BN$135,Stappen!$AA145,FALSE)</f>
        <v>13.800000000017462</v>
      </c>
      <c r="AI145" s="35">
        <f>HLOOKUP(AI$116+10,Kostengegevens!$AK$74:$BN$135,Stappen!$AA145,FALSE)</f>
        <v>15.084149999992178</v>
      </c>
      <c r="AJ145" s="35">
        <f>HLOOKUP(AJ$116+10,Kostengegevens!$AK$74:$BN$135,Stappen!$AA145,FALSE)</f>
        <v>71.301749999989966</v>
      </c>
      <c r="AK145" s="3"/>
      <c r="AL145" s="35">
        <f>HLOOKUP(AL$116+20,Kostengegevens!$AK$74:$BN$135,Stappen!$AA145,FALSE)</f>
        <v>65.940000000060536</v>
      </c>
      <c r="AM145" s="35">
        <f>HLOOKUP(AM$116+20,Kostengegevens!$AK$74:$BN$135,Stappen!$AA145,FALSE)</f>
        <v>56.004999999888241</v>
      </c>
      <c r="AN145" s="35">
        <f>HLOOKUP(AN$116+20,Kostengegevens!$AK$74:$BN$135,Stappen!$AA145,FALSE)</f>
        <v>54.397050000028685</v>
      </c>
      <c r="AO145" s="35">
        <f>HLOOKUP(AO$116+20,Kostengegevens!$AK$74:$BN$135,Stappen!$AA145,FALSE)</f>
        <v>242.17019999995819</v>
      </c>
      <c r="AP145" s="3"/>
      <c r="AQ145" s="35">
        <f>HLOOKUP(AQ$116+30,Kostengegevens!$AK$74:$BN$135,Stappen!$AA145,FALSE)</f>
        <v>500.82000000029802</v>
      </c>
      <c r="AR145" s="35">
        <f>HLOOKUP(AR$116+30,Kostengegevens!$AK$74:$BN$135,Stappen!$AA145,FALSE)</f>
        <v>286.94999999925494</v>
      </c>
      <c r="AS145" s="35">
        <f>HLOOKUP(AS$116+30,Kostengegevens!$AK$74:$BN$135,Stappen!$AA145,FALSE)</f>
        <v>585.80759999975271</v>
      </c>
      <c r="AT145" s="35">
        <f>HLOOKUP(AT$116+30,Kostengegevens!$AK$74:$BN$135,Stappen!$AA145,FALSE)</f>
        <v>3863.9977500002824</v>
      </c>
      <c r="AU145" s="3"/>
      <c r="AV145" s="35">
        <f>HLOOKUP(AV$116+40,Kostengegevens!$AK$74:$BN$135,Stappen!$AA145,FALSE)</f>
        <v>39.935000000012224</v>
      </c>
      <c r="AW145" s="35">
        <f>HLOOKUP(AW$116+40,Kostengegevens!$AK$74:$BN$135,Stappen!$AA145,FALSE)</f>
        <v>38.93499999998312</v>
      </c>
      <c r="AX145" s="35">
        <f>HLOOKUP(AX$116+40,Kostengegevens!$AK$74:$BN$135,Stappen!$AA145,FALSE)</f>
        <v>24.664199999996413</v>
      </c>
      <c r="AY145" s="35">
        <f>HLOOKUP(AY$116+40,Kostengegevens!$AK$74:$BN$135,Stappen!$AA145,FALSE)</f>
        <v>37.609199999994644</v>
      </c>
      <c r="AZ145" s="3"/>
      <c r="BA145" s="35">
        <f>HLOOKUP(BA$116+50,Kostengegevens!$AK$74:$BN$135,Stappen!$AA145,FALSE)</f>
        <v>7.3399999999674037</v>
      </c>
      <c r="BB145" s="35">
        <f>HLOOKUP(BB$116+50,Kostengegevens!$AK$74:$BN$135,Stappen!$AA145,FALSE)</f>
        <v>1.0099999999802094</v>
      </c>
      <c r="BC145" s="35">
        <f>HLOOKUP(BC$116+50,Kostengegevens!$AK$74:$BN$135,Stappen!$AA145,FALSE)</f>
        <v>4.736392999999282</v>
      </c>
      <c r="BD145" s="35">
        <f>HLOOKUP(BD$116+50,Kostengegevens!$AK$74:$BN$135,Stappen!$AA145,FALSE)</f>
        <v>28.208300000021723</v>
      </c>
      <c r="BE145" s="3"/>
      <c r="BG145" s="2">
        <v>8</v>
      </c>
      <c r="BH145" s="57">
        <v>30</v>
      </c>
      <c r="BI145" s="56">
        <f>BJ145</f>
        <v>11.214953271028037</v>
      </c>
      <c r="BJ145" s="56">
        <f>HLOOKUP(Stappen!BJ$116,Stappen!$BL$116:$BP$178,BH145,FALSE)*VLOOKUP($BG145,Stappen!$BH$24:$BJ$46,3,FALSE)</f>
        <v>11.214953271028037</v>
      </c>
      <c r="BK145" s="62" t="s">
        <v>26</v>
      </c>
      <c r="BL145" s="61">
        <f>Stappen!BL145</f>
        <v>8.0993520518358536E-2</v>
      </c>
      <c r="BM145" s="61">
        <f>Stappen!BM145</f>
        <v>7.476635514018691E-2</v>
      </c>
      <c r="BN145" s="61">
        <f>Stappen!BN145</f>
        <v>8.7939698492462318E-2</v>
      </c>
      <c r="BO145" s="61">
        <f>Stappen!BO145</f>
        <v>0.73049645390070927</v>
      </c>
      <c r="BP145" s="61">
        <f>Stappen!BP145</f>
        <v>8.0993520518358536E-2</v>
      </c>
      <c r="BR145" s="56">
        <f>Stappen!BR145</f>
        <v>2</v>
      </c>
      <c r="BS145" s="56">
        <f>Stappen!BS145</f>
        <v>4</v>
      </c>
      <c r="BT145" s="56">
        <f>Stappen!BT145</f>
        <v>3</v>
      </c>
      <c r="BU145" s="56">
        <f>Stappen!BU145</f>
        <v>3</v>
      </c>
      <c r="BV145" s="56">
        <f>Stappen!BV145</f>
        <v>0</v>
      </c>
    </row>
    <row r="146" spans="1:74" x14ac:dyDescent="0.2">
      <c r="A146" s="113"/>
      <c r="B146" s="114">
        <v>44</v>
      </c>
      <c r="C146" s="236" t="s">
        <v>311</v>
      </c>
      <c r="D146" s="191"/>
      <c r="E146" s="244"/>
      <c r="F146" s="127">
        <f>BI146</f>
        <v>2.8037383177570092</v>
      </c>
      <c r="G146" s="127"/>
      <c r="H146" s="133" t="s">
        <v>22</v>
      </c>
      <c r="I146" s="128"/>
      <c r="J146" s="134">
        <f t="shared" si="18"/>
        <v>0</v>
      </c>
      <c r="K146" s="129">
        <f t="shared" si="11"/>
        <v>0</v>
      </c>
      <c r="L146" s="130">
        <f t="shared" si="12"/>
        <v>0</v>
      </c>
      <c r="M146" s="131">
        <f t="shared" si="13"/>
        <v>0</v>
      </c>
      <c r="N146" s="129">
        <f t="shared" si="14"/>
        <v>0</v>
      </c>
      <c r="O146" s="130">
        <f t="shared" si="15"/>
        <v>0</v>
      </c>
      <c r="T146" s="91" t="str">
        <f>HLOOKUP(Z146,$U$116:$Y$183,AA146,FALSE)</f>
        <v>1 p.m. opgenomen in (1G24)</v>
      </c>
      <c r="U146" s="263" t="s">
        <v>162</v>
      </c>
      <c r="V146" s="263" t="s">
        <v>113</v>
      </c>
      <c r="W146" s="263" t="s">
        <v>114</v>
      </c>
      <c r="X146" s="263" t="s">
        <v>84</v>
      </c>
      <c r="Y146" s="263" t="s">
        <v>62</v>
      </c>
      <c r="Z146" s="2">
        <f>HLOOKUP(Z$116,$BR$116:$BV$183,BH146,FALSE)</f>
        <v>1</v>
      </c>
      <c r="AA146" s="35">
        <f t="shared" si="16"/>
        <v>31</v>
      </c>
      <c r="AB146" s="35">
        <f>HLOOKUP(AB$116,Kostengegevens!$AK$74:$BN$135,Stappen!$AA146,FALSE)</f>
        <v>0</v>
      </c>
      <c r="AC146" s="35">
        <f>HLOOKUP(AC$116,Kostengegevens!$AK$74:$BN$135,Stappen!$AA146,FALSE)</f>
        <v>42.441499999957159</v>
      </c>
      <c r="AD146" s="35">
        <f>HLOOKUP(AD$116,Kostengegevens!$AK$74:$BN$135,Stappen!$AA146,FALSE)</f>
        <v>96.642999999923632</v>
      </c>
      <c r="AE146" s="35">
        <f>HLOOKUP(AE$116,Kostengegevens!$AK$74:$BN$135,Stappen!$AA146,FALSE)</f>
        <v>0</v>
      </c>
      <c r="AF146" s="3"/>
      <c r="AG146" s="35">
        <f>HLOOKUP(AG$116+10,Kostengegevens!$AK$74:$BN$135,Stappen!$AA146,FALSE)</f>
        <v>0</v>
      </c>
      <c r="AH146" s="35">
        <f>HLOOKUP(AH$116+10,Kostengegevens!$AK$74:$BN$135,Stappen!$AA146,FALSE)</f>
        <v>17.759749999997439</v>
      </c>
      <c r="AI146" s="35">
        <f>HLOOKUP(AI$116+10,Kostengegevens!$AK$74:$BN$135,Stappen!$AA146,FALSE)</f>
        <v>36.609499999991385</v>
      </c>
      <c r="AJ146" s="35">
        <f>HLOOKUP(AJ$116+10,Kostengegevens!$AK$74:$BN$135,Stappen!$AA146,FALSE)</f>
        <v>0</v>
      </c>
      <c r="AK146" s="3"/>
      <c r="AL146" s="35">
        <f>HLOOKUP(AL$116+20,Kostengegevens!$AK$74:$BN$135,Stappen!$AA146,FALSE)</f>
        <v>0</v>
      </c>
      <c r="AM146" s="35">
        <f>HLOOKUP(AM$116+20,Kostengegevens!$AK$74:$BN$135,Stappen!$AA146,FALSE)</f>
        <v>33.483499999914784</v>
      </c>
      <c r="AN146" s="35">
        <f>HLOOKUP(AN$116+20,Kostengegevens!$AK$74:$BN$135,Stappen!$AA146,FALSE)</f>
        <v>70.161999999778345</v>
      </c>
      <c r="AO146" s="35">
        <f>HLOOKUP(AO$116+20,Kostengegevens!$AK$74:$BN$135,Stappen!$AA146,FALSE)</f>
        <v>0</v>
      </c>
      <c r="AP146" s="3"/>
      <c r="AQ146" s="35">
        <f>HLOOKUP(AQ$116+30,Kostengegevens!$AK$74:$BN$135,Stappen!$AA146,FALSE)</f>
        <v>0</v>
      </c>
      <c r="AR146" s="35">
        <f>HLOOKUP(AR$116+30,Kostengegevens!$AK$74:$BN$135,Stappen!$AA146,FALSE)</f>
        <v>203.79100000020117</v>
      </c>
      <c r="AS146" s="35">
        <f>HLOOKUP(AS$116+30,Kostengegevens!$AK$74:$BN$135,Stappen!$AA146,FALSE)</f>
        <v>465.29700000025332</v>
      </c>
      <c r="AT146" s="35">
        <f>HLOOKUP(AT$116+30,Kostengegevens!$AK$74:$BN$135,Stappen!$AA146,FALSE)</f>
        <v>0</v>
      </c>
      <c r="AU146" s="3"/>
      <c r="AV146" s="35">
        <f>HLOOKUP(AV$116+40,Kostengegevens!$AK$74:$BN$135,Stappen!$AA146,FALSE)</f>
        <v>0</v>
      </c>
      <c r="AW146" s="35">
        <f>HLOOKUP(AW$116+40,Kostengegevens!$AK$74:$BN$135,Stappen!$AA146,FALSE)</f>
        <v>23.510249999992084</v>
      </c>
      <c r="AX146" s="35">
        <f>HLOOKUP(AX$116+40,Kostengegevens!$AK$74:$BN$135,Stappen!$AA146,FALSE)</f>
        <v>47.300499999983003</v>
      </c>
      <c r="AY146" s="35">
        <f>HLOOKUP(AY$116+40,Kostengegevens!$AK$74:$BN$135,Stappen!$AA146,FALSE)</f>
        <v>0</v>
      </c>
      <c r="AZ146" s="3"/>
      <c r="BA146" s="35">
        <f>HLOOKUP(BA$116+50,Kostengegevens!$AK$74:$BN$135,Stappen!$AA146,FALSE)</f>
        <v>0</v>
      </c>
      <c r="BB146" s="35">
        <f>HLOOKUP(BB$116+50,Kostengegevens!$AK$74:$BN$135,Stappen!$AA146,FALSE)</f>
        <v>1.5568749999947613</v>
      </c>
      <c r="BC146" s="35">
        <f>HLOOKUP(BC$116+50,Kostengegevens!$AK$74:$BN$135,Stappen!$AA146,FALSE)</f>
        <v>3.1137499999895226</v>
      </c>
      <c r="BD146" s="35">
        <f>HLOOKUP(BD$116+50,Kostengegevens!$AK$74:$BN$135,Stappen!$AA146,FALSE)</f>
        <v>0</v>
      </c>
      <c r="BE146" s="3"/>
      <c r="BG146" s="2">
        <v>8</v>
      </c>
      <c r="BH146" s="57">
        <v>31</v>
      </c>
      <c r="BI146" s="56">
        <f>BJ146</f>
        <v>2.8037383177570092</v>
      </c>
      <c r="BJ146" s="56">
        <f>HLOOKUP(Stappen!BJ$116,Stappen!$BL$116:$BP$178,BH146,FALSE)*VLOOKUP($BG146,Stappen!$BH$24:$BJ$46,3,FALSE)</f>
        <v>2.8037383177570092</v>
      </c>
      <c r="BK146" s="62" t="s">
        <v>22</v>
      </c>
      <c r="BL146" s="61">
        <f>Stappen!BL146</f>
        <v>4.5356371490280781E-2</v>
      </c>
      <c r="BM146" s="61">
        <f>Stappen!BM146</f>
        <v>1.8691588785046728E-2</v>
      </c>
      <c r="BN146" s="61">
        <f>Stappen!BN146</f>
        <v>2.0100502512562814E-2</v>
      </c>
      <c r="BO146" s="61">
        <f>Stappen!BO146</f>
        <v>1.8404907975460124E-2</v>
      </c>
      <c r="BP146" s="61">
        <f>Stappen!BP146</f>
        <v>7.4514038876889843E-2</v>
      </c>
      <c r="BR146" s="56">
        <f>Stappen!BR146</f>
        <v>1</v>
      </c>
      <c r="BS146" s="56">
        <f>Stappen!BS146</f>
        <v>1</v>
      </c>
      <c r="BT146" s="56">
        <f>Stappen!BT146</f>
        <v>1</v>
      </c>
      <c r="BU146" s="56">
        <f>Stappen!BU146</f>
        <v>1</v>
      </c>
      <c r="BV146" s="56">
        <f>Stappen!BV146</f>
        <v>0</v>
      </c>
    </row>
    <row r="147" spans="1:74" x14ac:dyDescent="0.2">
      <c r="A147" s="120" t="s">
        <v>170</v>
      </c>
      <c r="B147" s="114"/>
      <c r="C147" s="235" t="s">
        <v>56</v>
      </c>
      <c r="D147" s="191"/>
      <c r="E147" s="133"/>
      <c r="F147" s="133"/>
      <c r="G147" s="133"/>
      <c r="H147" s="133"/>
      <c r="I147" s="128"/>
      <c r="J147" s="134"/>
      <c r="K147" s="129"/>
      <c r="L147" s="130"/>
      <c r="M147" s="131"/>
      <c r="N147" s="129"/>
      <c r="O147" s="130"/>
      <c r="P147" s="84"/>
      <c r="T147" s="91"/>
      <c r="U147" s="263"/>
      <c r="V147" s="263"/>
      <c r="W147" s="263"/>
      <c r="X147" s="263"/>
      <c r="Y147" s="263"/>
      <c r="AA147" s="35">
        <f t="shared" si="16"/>
        <v>32</v>
      </c>
      <c r="AB147" s="35">
        <f>HLOOKUP(AB$116,Kostengegevens!$AK$74:$BN$135,Stappen!$AA147,FALSE)</f>
        <v>0</v>
      </c>
      <c r="AC147" s="35">
        <f>HLOOKUP(AC$116,Kostengegevens!$AK$74:$BN$135,Stappen!$AA147,FALSE)</f>
        <v>0</v>
      </c>
      <c r="AD147" s="35">
        <f>HLOOKUP(AD$116,Kostengegevens!$AK$74:$BN$135,Stappen!$AA147,FALSE)</f>
        <v>0</v>
      </c>
      <c r="AE147" s="35">
        <f>HLOOKUP(AE$116,Kostengegevens!$AK$74:$BN$135,Stappen!$AA147,FALSE)</f>
        <v>0</v>
      </c>
      <c r="AF147" s="3"/>
      <c r="AG147" s="35">
        <f>HLOOKUP(AG$116+10,Kostengegevens!$AK$74:$BN$135,Stappen!$AA147,FALSE)</f>
        <v>0</v>
      </c>
      <c r="AH147" s="35">
        <f>HLOOKUP(AH$116+10,Kostengegevens!$AK$74:$BN$135,Stappen!$AA147,FALSE)</f>
        <v>0</v>
      </c>
      <c r="AI147" s="35">
        <f>HLOOKUP(AI$116+10,Kostengegevens!$AK$74:$BN$135,Stappen!$AA147,FALSE)</f>
        <v>0</v>
      </c>
      <c r="AJ147" s="35">
        <f>HLOOKUP(AJ$116+10,Kostengegevens!$AK$74:$BN$135,Stappen!$AA147,FALSE)</f>
        <v>0</v>
      </c>
      <c r="AK147" s="3"/>
      <c r="AL147" s="35">
        <f>HLOOKUP(AL$116+20,Kostengegevens!$AK$74:$BN$135,Stappen!$AA147,FALSE)</f>
        <v>0</v>
      </c>
      <c r="AM147" s="35">
        <f>HLOOKUP(AM$116+20,Kostengegevens!$AK$74:$BN$135,Stappen!$AA147,FALSE)</f>
        <v>0</v>
      </c>
      <c r="AN147" s="35">
        <f>HLOOKUP(AN$116+20,Kostengegevens!$AK$74:$BN$135,Stappen!$AA147,FALSE)</f>
        <v>0</v>
      </c>
      <c r="AO147" s="35">
        <f>HLOOKUP(AO$116+20,Kostengegevens!$AK$74:$BN$135,Stappen!$AA147,FALSE)</f>
        <v>0</v>
      </c>
      <c r="AP147" s="3"/>
      <c r="AQ147" s="35">
        <f>HLOOKUP(AQ$116+30,Kostengegevens!$AK$74:$BN$135,Stappen!$AA147,FALSE)</f>
        <v>0</v>
      </c>
      <c r="AR147" s="35">
        <f>HLOOKUP(AR$116+30,Kostengegevens!$AK$74:$BN$135,Stappen!$AA147,FALSE)</f>
        <v>0</v>
      </c>
      <c r="AS147" s="35">
        <f>HLOOKUP(AS$116+30,Kostengegevens!$AK$74:$BN$135,Stappen!$AA147,FALSE)</f>
        <v>0</v>
      </c>
      <c r="AT147" s="35">
        <f>HLOOKUP(AT$116+30,Kostengegevens!$AK$74:$BN$135,Stappen!$AA147,FALSE)</f>
        <v>0</v>
      </c>
      <c r="AU147" s="3"/>
      <c r="AV147" s="35">
        <f>HLOOKUP(AV$116+40,Kostengegevens!$AK$74:$BN$135,Stappen!$AA147,FALSE)</f>
        <v>0</v>
      </c>
      <c r="AW147" s="35">
        <f>HLOOKUP(AW$116+40,Kostengegevens!$AK$74:$BN$135,Stappen!$AA147,FALSE)</f>
        <v>0</v>
      </c>
      <c r="AX147" s="35">
        <f>HLOOKUP(AX$116+40,Kostengegevens!$AK$74:$BN$135,Stappen!$AA147,FALSE)</f>
        <v>0</v>
      </c>
      <c r="AY147" s="35">
        <f>HLOOKUP(AY$116+40,Kostengegevens!$AK$74:$BN$135,Stappen!$AA147,FALSE)</f>
        <v>0</v>
      </c>
      <c r="AZ147" s="3"/>
      <c r="BA147" s="35">
        <f>HLOOKUP(BA$116+50,Kostengegevens!$AK$74:$BN$135,Stappen!$AA147,FALSE)</f>
        <v>0</v>
      </c>
      <c r="BB147" s="35">
        <f>HLOOKUP(BB$116+50,Kostengegevens!$AK$74:$BN$135,Stappen!$AA147,FALSE)</f>
        <v>0</v>
      </c>
      <c r="BC147" s="35">
        <f>HLOOKUP(BC$116+50,Kostengegevens!$AK$74:$BN$135,Stappen!$AA147,FALSE)</f>
        <v>0</v>
      </c>
      <c r="BD147" s="35">
        <f>HLOOKUP(BD$116+50,Kostengegevens!$AK$74:$BN$135,Stappen!$AA147,FALSE)</f>
        <v>0</v>
      </c>
      <c r="BE147" s="3"/>
      <c r="BH147" s="57">
        <v>32</v>
      </c>
      <c r="BI147" s="56"/>
      <c r="BJ147" s="56"/>
      <c r="BK147" s="62"/>
      <c r="BL147" s="61"/>
      <c r="BM147" s="61"/>
      <c r="BN147" s="61"/>
      <c r="BO147" s="61"/>
      <c r="BP147" s="61"/>
      <c r="BR147" s="56"/>
      <c r="BS147" s="56"/>
      <c r="BT147" s="56"/>
      <c r="BU147" s="56"/>
      <c r="BV147" s="56"/>
    </row>
    <row r="148" spans="1:74" x14ac:dyDescent="0.2">
      <c r="A148" s="113"/>
      <c r="B148" s="114">
        <v>45</v>
      </c>
      <c r="C148" s="236" t="s">
        <v>312</v>
      </c>
      <c r="D148" s="191"/>
      <c r="E148" s="244"/>
      <c r="F148" s="127">
        <f>BI148</f>
        <v>138.78504672897196</v>
      </c>
      <c r="G148" s="127"/>
      <c r="H148" s="133" t="s">
        <v>22</v>
      </c>
      <c r="I148" s="128"/>
      <c r="J148" s="134">
        <f t="shared" si="18"/>
        <v>638.41121495325842</v>
      </c>
      <c r="K148" s="129">
        <f t="shared" si="11"/>
        <v>210.95327102415345</v>
      </c>
      <c r="L148" s="130">
        <f t="shared" si="12"/>
        <v>605.65794393350586</v>
      </c>
      <c r="M148" s="131">
        <f t="shared" si="13"/>
        <v>12072.63364500034</v>
      </c>
      <c r="N148" s="129">
        <f t="shared" si="14"/>
        <v>64.951401866644744</v>
      </c>
      <c r="O148" s="130">
        <f t="shared" si="15"/>
        <v>54.403738319957476</v>
      </c>
      <c r="T148" s="91" t="str">
        <f>HLOOKUP(Z148,$U$116:$Y$183,AA148,FALSE)</f>
        <v>1 woningbouw: spuitwerk (onderz.vloer)</v>
      </c>
      <c r="U148" s="263" t="s">
        <v>340</v>
      </c>
      <c r="V148" s="263" t="s">
        <v>117</v>
      </c>
      <c r="W148" s="263" t="s">
        <v>364</v>
      </c>
      <c r="X148" s="263" t="s">
        <v>365</v>
      </c>
      <c r="Y148" s="263" t="s">
        <v>62</v>
      </c>
      <c r="Z148" s="2">
        <f>HLOOKUP(Z$116,$BR$116:$BV$183,BH148,FALSE)</f>
        <v>1</v>
      </c>
      <c r="AA148" s="35">
        <f t="shared" si="16"/>
        <v>33</v>
      </c>
      <c r="AB148" s="35">
        <f>HLOOKUP(AB$116,Kostengegevens!$AK$74:$BN$135,Stappen!$AA148,FALSE)</f>
        <v>4.5999999999999091</v>
      </c>
      <c r="AC148" s="35">
        <f>HLOOKUP(AC$116,Kostengegevens!$AK$74:$BN$135,Stappen!$AA148,FALSE)</f>
        <v>50.898653333245875</v>
      </c>
      <c r="AD148" s="35">
        <f>HLOOKUP(AD$116,Kostengegevens!$AK$74:$BN$135,Stappen!$AA148,FALSE)</f>
        <v>64.617306666790228</v>
      </c>
      <c r="AE148" s="35">
        <f>HLOOKUP(AE$116,Kostengegevens!$AK$74:$BN$135,Stappen!$AA148,FALSE)</f>
        <v>64.074726666525748</v>
      </c>
      <c r="AF148" s="3"/>
      <c r="AG148" s="35">
        <f>HLOOKUP(AG$116+10,Kostengegevens!$AK$74:$BN$135,Stappen!$AA148,FALSE)</f>
        <v>1.5199999999720148</v>
      </c>
      <c r="AH148" s="35">
        <f>HLOOKUP(AH$116+10,Kostengegevens!$AK$74:$BN$135,Stappen!$AA148,FALSE)</f>
        <v>14.805116666688491</v>
      </c>
      <c r="AI148" s="35">
        <f>HLOOKUP(AI$116+10,Kostengegevens!$AK$74:$BN$135,Stappen!$AA148,FALSE)</f>
        <v>19.260233333312954</v>
      </c>
      <c r="AJ148" s="35">
        <f>HLOOKUP(AJ$116+10,Kostengegevens!$AK$74:$BN$135,Stappen!$AA148,FALSE)</f>
        <v>14.094308333342383</v>
      </c>
      <c r="AK148" s="3"/>
      <c r="AL148" s="35">
        <f>HLOOKUP(AL$116+20,Kostengegevens!$AK$74:$BN$135,Stappen!$AA148,FALSE)</f>
        <v>4.3640000000596046</v>
      </c>
      <c r="AM148" s="35">
        <f>HLOOKUP(AM$116+20,Kostengegevens!$AK$74:$BN$135,Stappen!$AA148,FALSE)</f>
        <v>27.348786666515934</v>
      </c>
      <c r="AN148" s="35">
        <f>HLOOKUP(AN$116+20,Kostengegevens!$AK$74:$BN$135,Stappen!$AA148,FALSE)</f>
        <v>35.55757333348356</v>
      </c>
      <c r="AO148" s="35">
        <f>HLOOKUP(AO$116+20,Kostengegevens!$AK$74:$BN$135,Stappen!$AA148,FALSE)</f>
        <v>48.156293333271151</v>
      </c>
      <c r="AP148" s="3"/>
      <c r="AQ148" s="35">
        <f>HLOOKUP(AQ$116+30,Kostengegevens!$AK$74:$BN$135,Stappen!$AA148,FALSE)</f>
        <v>86.988000001012551</v>
      </c>
      <c r="AR148" s="35">
        <f>HLOOKUP(AR$116+30,Kostengegevens!$AK$74:$BN$135,Stappen!$AA148,FALSE)</f>
        <v>389.8574833323546</v>
      </c>
      <c r="AS148" s="35">
        <f>HLOOKUP(AS$116+30,Kostengegevens!$AK$74:$BN$135,Stappen!$AA148,FALSE)</f>
        <v>458.57996666679901</v>
      </c>
      <c r="AT148" s="35">
        <f>HLOOKUP(AT$116+30,Kostengegevens!$AK$74:$BN$135,Stappen!$AA148,FALSE)</f>
        <v>452.84499166688693</v>
      </c>
      <c r="AU148" s="3"/>
      <c r="AV148" s="35">
        <f>HLOOKUP(AV$116+40,Kostengegevens!$AK$74:$BN$135,Stappen!$AA148,FALSE)</f>
        <v>0.46799999998188468</v>
      </c>
      <c r="AW148" s="35">
        <f>HLOOKUP(AW$116+40,Kostengegevens!$AK$74:$BN$135,Stappen!$AA148,FALSE)</f>
        <v>6.9370533333460571</v>
      </c>
      <c r="AX148" s="35">
        <f>HLOOKUP(AX$116+40,Kostengegevens!$AK$74:$BN$135,Stappen!$AA148,FALSE)</f>
        <v>11.594106666664175</v>
      </c>
      <c r="AY148" s="35">
        <f>HLOOKUP(AY$116+40,Kostengegevens!$AK$74:$BN$135,Stappen!$AA148,FALSE)</f>
        <v>24.895926666673518</v>
      </c>
      <c r="AZ148" s="3"/>
      <c r="BA148" s="35">
        <f>HLOOKUP(BA$116+50,Kostengegevens!$AK$74:$BN$135,Stappen!$AA148,FALSE)</f>
        <v>0.39200000001585522</v>
      </c>
      <c r="BB148" s="35">
        <f>HLOOKUP(BB$116+50,Kostengegevens!$AK$74:$BN$135,Stappen!$AA148,FALSE)</f>
        <v>10.306233333350008</v>
      </c>
      <c r="BC148" s="35">
        <f>HLOOKUP(BC$116+50,Kostengegevens!$AK$74:$BN$135,Stappen!$AA148,FALSE)</f>
        <v>11.844966666654614</v>
      </c>
      <c r="BD148" s="35">
        <f>HLOOKUP(BD$116+50,Kostengegevens!$AK$74:$BN$135,Stappen!$AA148,FALSE)</f>
        <v>7.043991666657746</v>
      </c>
      <c r="BE148" s="3"/>
      <c r="BG148" s="2">
        <v>9</v>
      </c>
      <c r="BH148" s="57">
        <v>33</v>
      </c>
      <c r="BI148" s="56">
        <f>BJ148</f>
        <v>138.78504672897196</v>
      </c>
      <c r="BJ148" s="56">
        <f>HLOOKUP(Stappen!BJ$116,Stappen!$BL$116:$BP$178,BH148,FALSE)*VLOOKUP($BG148,Stappen!$BH$24:$BJ$46,3,FALSE)</f>
        <v>138.78504672897196</v>
      </c>
      <c r="BK148" s="62" t="s">
        <v>22</v>
      </c>
      <c r="BL148" s="61">
        <f>Stappen!BL148</f>
        <v>1.0280777537796977</v>
      </c>
      <c r="BM148" s="61">
        <f>Stappen!BM148</f>
        <v>0.92523364485981308</v>
      </c>
      <c r="BN148" s="61">
        <f>Stappen!BN148</f>
        <v>0.92713567839195976</v>
      </c>
      <c r="BO148" s="61">
        <f>Stappen!BO148</f>
        <v>0.89570552147239269</v>
      </c>
      <c r="BP148" s="61">
        <f>Stappen!BP148</f>
        <v>1.0280777537796977</v>
      </c>
      <c r="BR148" s="56">
        <f>Stappen!BR148</f>
        <v>1</v>
      </c>
      <c r="BS148" s="56">
        <f>Stappen!BS148</f>
        <v>1</v>
      </c>
      <c r="BT148" s="56">
        <f>Stappen!BT148</f>
        <v>2</v>
      </c>
      <c r="BU148" s="56">
        <f>Stappen!BU148</f>
        <v>2</v>
      </c>
      <c r="BV148" s="56">
        <f>Stappen!BV148</f>
        <v>0</v>
      </c>
    </row>
    <row r="149" spans="1:74" x14ac:dyDescent="0.2">
      <c r="A149" s="113"/>
      <c r="B149" s="114"/>
      <c r="C149" s="146" t="s">
        <v>42</v>
      </c>
      <c r="D149" s="191"/>
      <c r="E149" s="133"/>
      <c r="F149" s="133"/>
      <c r="G149" s="133"/>
      <c r="H149" s="133"/>
      <c r="I149" s="128"/>
      <c r="J149" s="134"/>
      <c r="K149" s="129"/>
      <c r="L149" s="130"/>
      <c r="M149" s="131"/>
      <c r="N149" s="129"/>
      <c r="O149" s="130"/>
      <c r="P149" s="84"/>
      <c r="T149" s="91"/>
      <c r="U149" s="263"/>
      <c r="V149" s="263"/>
      <c r="W149" s="263"/>
      <c r="X149" s="263"/>
      <c r="Y149" s="263"/>
      <c r="AA149" s="35">
        <f t="shared" si="16"/>
        <v>34</v>
      </c>
      <c r="AB149" s="35">
        <f>HLOOKUP(AB$116,Kostengegevens!$AK$74:$BN$135,Stappen!$AA149,FALSE)</f>
        <v>0</v>
      </c>
      <c r="AC149" s="35">
        <f>HLOOKUP(AC$116,Kostengegevens!$AK$74:$BN$135,Stappen!$AA149,FALSE)</f>
        <v>0</v>
      </c>
      <c r="AD149" s="35">
        <f>HLOOKUP(AD$116,Kostengegevens!$AK$74:$BN$135,Stappen!$AA149,FALSE)</f>
        <v>0</v>
      </c>
      <c r="AE149" s="35">
        <f>HLOOKUP(AE$116,Kostengegevens!$AK$74:$BN$135,Stappen!$AA149,FALSE)</f>
        <v>0</v>
      </c>
      <c r="AF149" s="3"/>
      <c r="AG149" s="35">
        <f>HLOOKUP(AG$116+10,Kostengegevens!$AK$74:$BN$135,Stappen!$AA149,FALSE)</f>
        <v>0</v>
      </c>
      <c r="AH149" s="35">
        <f>HLOOKUP(AH$116+10,Kostengegevens!$AK$74:$BN$135,Stappen!$AA149,FALSE)</f>
        <v>0</v>
      </c>
      <c r="AI149" s="35">
        <f>HLOOKUP(AI$116+10,Kostengegevens!$AK$74:$BN$135,Stappen!$AA149,FALSE)</f>
        <v>0</v>
      </c>
      <c r="AJ149" s="35">
        <f>HLOOKUP(AJ$116+10,Kostengegevens!$AK$74:$BN$135,Stappen!$AA149,FALSE)</f>
        <v>0</v>
      </c>
      <c r="AK149" s="3"/>
      <c r="AL149" s="35">
        <f>HLOOKUP(AL$116+20,Kostengegevens!$AK$74:$BN$135,Stappen!$AA149,FALSE)</f>
        <v>0</v>
      </c>
      <c r="AM149" s="35">
        <f>HLOOKUP(AM$116+20,Kostengegevens!$AK$74:$BN$135,Stappen!$AA149,FALSE)</f>
        <v>0</v>
      </c>
      <c r="AN149" s="35">
        <f>HLOOKUP(AN$116+20,Kostengegevens!$AK$74:$BN$135,Stappen!$AA149,FALSE)</f>
        <v>0</v>
      </c>
      <c r="AO149" s="35">
        <f>HLOOKUP(AO$116+20,Kostengegevens!$AK$74:$BN$135,Stappen!$AA149,FALSE)</f>
        <v>0</v>
      </c>
      <c r="AP149" s="3"/>
      <c r="AQ149" s="35">
        <f>HLOOKUP(AQ$116+30,Kostengegevens!$AK$74:$BN$135,Stappen!$AA149,FALSE)</f>
        <v>0</v>
      </c>
      <c r="AR149" s="35">
        <f>HLOOKUP(AR$116+30,Kostengegevens!$AK$74:$BN$135,Stappen!$AA149,FALSE)</f>
        <v>0</v>
      </c>
      <c r="AS149" s="35">
        <f>HLOOKUP(AS$116+30,Kostengegevens!$AK$74:$BN$135,Stappen!$AA149,FALSE)</f>
        <v>0</v>
      </c>
      <c r="AT149" s="35">
        <f>HLOOKUP(AT$116+30,Kostengegevens!$AK$74:$BN$135,Stappen!$AA149,FALSE)</f>
        <v>0</v>
      </c>
      <c r="AU149" s="3"/>
      <c r="AV149" s="35">
        <f>HLOOKUP(AV$116+40,Kostengegevens!$AK$74:$BN$135,Stappen!$AA149,FALSE)</f>
        <v>0</v>
      </c>
      <c r="AW149" s="35">
        <f>HLOOKUP(AW$116+40,Kostengegevens!$AK$74:$BN$135,Stappen!$AA149,FALSE)</f>
        <v>0</v>
      </c>
      <c r="AX149" s="35">
        <f>HLOOKUP(AX$116+40,Kostengegevens!$AK$74:$BN$135,Stappen!$AA149,FALSE)</f>
        <v>0</v>
      </c>
      <c r="AY149" s="35">
        <f>HLOOKUP(AY$116+40,Kostengegevens!$AK$74:$BN$135,Stappen!$AA149,FALSE)</f>
        <v>0</v>
      </c>
      <c r="AZ149" s="3"/>
      <c r="BA149" s="35">
        <f>HLOOKUP(BA$116+50,Kostengegevens!$AK$74:$BN$135,Stappen!$AA149,FALSE)</f>
        <v>0</v>
      </c>
      <c r="BB149" s="35">
        <f>HLOOKUP(BB$116+50,Kostengegevens!$AK$74:$BN$135,Stappen!$AA149,FALSE)</f>
        <v>0</v>
      </c>
      <c r="BC149" s="35">
        <f>HLOOKUP(BC$116+50,Kostengegevens!$AK$74:$BN$135,Stappen!$AA149,FALSE)</f>
        <v>0</v>
      </c>
      <c r="BD149" s="35">
        <f>HLOOKUP(BD$116+50,Kostengegevens!$AK$74:$BN$135,Stappen!$AA149,FALSE)</f>
        <v>0</v>
      </c>
      <c r="BE149" s="3"/>
      <c r="BH149" s="57">
        <v>34</v>
      </c>
      <c r="BI149" s="53"/>
      <c r="BJ149" s="56"/>
      <c r="BK149" s="62"/>
      <c r="BL149" s="61"/>
      <c r="BM149" s="61"/>
      <c r="BN149" s="61"/>
      <c r="BO149" s="61"/>
      <c r="BP149" s="61"/>
      <c r="BR149" s="56"/>
      <c r="BS149" s="56"/>
      <c r="BT149" s="56"/>
      <c r="BU149" s="56"/>
      <c r="BV149" s="56"/>
    </row>
    <row r="150" spans="1:74" x14ac:dyDescent="0.2">
      <c r="A150" s="120" t="s">
        <v>171</v>
      </c>
      <c r="B150" s="114"/>
      <c r="C150" s="235" t="s">
        <v>9</v>
      </c>
      <c r="D150" s="191"/>
      <c r="E150" s="133"/>
      <c r="F150" s="133"/>
      <c r="G150" s="133"/>
      <c r="H150" s="133"/>
      <c r="I150" s="128"/>
      <c r="J150" s="240"/>
      <c r="K150" s="129"/>
      <c r="L150" s="130"/>
      <c r="M150" s="131"/>
      <c r="N150" s="129"/>
      <c r="O150" s="130"/>
      <c r="P150" s="84"/>
      <c r="T150" s="91"/>
      <c r="U150" s="263"/>
      <c r="V150" s="263"/>
      <c r="W150" s="263"/>
      <c r="X150" s="263"/>
      <c r="Y150" s="263"/>
      <c r="AA150" s="35">
        <f t="shared" si="16"/>
        <v>35</v>
      </c>
      <c r="AB150" s="35">
        <f>HLOOKUP(AB$116,Kostengegevens!$AK$74:$BN$135,Stappen!$AA150,FALSE)</f>
        <v>0</v>
      </c>
      <c r="AC150" s="35">
        <f>HLOOKUP(AC$116,Kostengegevens!$AK$74:$BN$135,Stappen!$AA150,FALSE)</f>
        <v>0</v>
      </c>
      <c r="AD150" s="35">
        <f>HLOOKUP(AD$116,Kostengegevens!$AK$74:$BN$135,Stappen!$AA150,FALSE)</f>
        <v>0</v>
      </c>
      <c r="AE150" s="35">
        <f>HLOOKUP(AE$116,Kostengegevens!$AK$74:$BN$135,Stappen!$AA150,FALSE)</f>
        <v>0</v>
      </c>
      <c r="AF150" s="3"/>
      <c r="AG150" s="35">
        <f>HLOOKUP(AG$116+10,Kostengegevens!$AK$74:$BN$135,Stappen!$AA150,FALSE)</f>
        <v>0</v>
      </c>
      <c r="AH150" s="35">
        <f>HLOOKUP(AH$116+10,Kostengegevens!$AK$74:$BN$135,Stappen!$AA150,FALSE)</f>
        <v>0</v>
      </c>
      <c r="AI150" s="35">
        <f>HLOOKUP(AI$116+10,Kostengegevens!$AK$74:$BN$135,Stappen!$AA150,FALSE)</f>
        <v>0</v>
      </c>
      <c r="AJ150" s="35">
        <f>HLOOKUP(AJ$116+10,Kostengegevens!$AK$74:$BN$135,Stappen!$AA150,FALSE)</f>
        <v>0</v>
      </c>
      <c r="AK150" s="3"/>
      <c r="AL150" s="35">
        <f>HLOOKUP(AL$116+20,Kostengegevens!$AK$74:$BN$135,Stappen!$AA150,FALSE)</f>
        <v>0</v>
      </c>
      <c r="AM150" s="35">
        <f>HLOOKUP(AM$116+20,Kostengegevens!$AK$74:$BN$135,Stappen!$AA150,FALSE)</f>
        <v>0</v>
      </c>
      <c r="AN150" s="35">
        <f>HLOOKUP(AN$116+20,Kostengegevens!$AK$74:$BN$135,Stappen!$AA150,FALSE)</f>
        <v>0</v>
      </c>
      <c r="AO150" s="35">
        <f>HLOOKUP(AO$116+20,Kostengegevens!$AK$74:$BN$135,Stappen!$AA150,FALSE)</f>
        <v>0</v>
      </c>
      <c r="AP150" s="3"/>
      <c r="AQ150" s="35">
        <f>HLOOKUP(AQ$116+30,Kostengegevens!$AK$74:$BN$135,Stappen!$AA150,FALSE)</f>
        <v>0</v>
      </c>
      <c r="AR150" s="35">
        <f>HLOOKUP(AR$116+30,Kostengegevens!$AK$74:$BN$135,Stappen!$AA150,FALSE)</f>
        <v>0</v>
      </c>
      <c r="AS150" s="35">
        <f>HLOOKUP(AS$116+30,Kostengegevens!$AK$74:$BN$135,Stappen!$AA150,FALSE)</f>
        <v>0</v>
      </c>
      <c r="AT150" s="35">
        <f>HLOOKUP(AT$116+30,Kostengegevens!$AK$74:$BN$135,Stappen!$AA150,FALSE)</f>
        <v>0</v>
      </c>
      <c r="AU150" s="3"/>
      <c r="AV150" s="35">
        <f>HLOOKUP(AV$116+40,Kostengegevens!$AK$74:$BN$135,Stappen!$AA150,FALSE)</f>
        <v>0</v>
      </c>
      <c r="AW150" s="35">
        <f>HLOOKUP(AW$116+40,Kostengegevens!$AK$74:$BN$135,Stappen!$AA150,FALSE)</f>
        <v>0</v>
      </c>
      <c r="AX150" s="35">
        <f>HLOOKUP(AX$116+40,Kostengegevens!$AK$74:$BN$135,Stappen!$AA150,FALSE)</f>
        <v>0</v>
      </c>
      <c r="AY150" s="35">
        <f>HLOOKUP(AY$116+40,Kostengegevens!$AK$74:$BN$135,Stappen!$AA150,FALSE)</f>
        <v>0</v>
      </c>
      <c r="AZ150" s="3"/>
      <c r="BA150" s="35">
        <f>HLOOKUP(BA$116+50,Kostengegevens!$AK$74:$BN$135,Stappen!$AA150,FALSE)</f>
        <v>0</v>
      </c>
      <c r="BB150" s="35">
        <f>HLOOKUP(BB$116+50,Kostengegevens!$AK$74:$BN$135,Stappen!$AA150,FALSE)</f>
        <v>0</v>
      </c>
      <c r="BC150" s="35">
        <f>HLOOKUP(BC$116+50,Kostengegevens!$AK$74:$BN$135,Stappen!$AA150,FALSE)</f>
        <v>0</v>
      </c>
      <c r="BD150" s="35">
        <f>HLOOKUP(BD$116+50,Kostengegevens!$AK$74:$BN$135,Stappen!$AA150,FALSE)</f>
        <v>0</v>
      </c>
      <c r="BE150" s="3"/>
      <c r="BH150" s="57">
        <v>35</v>
      </c>
      <c r="BI150" s="53"/>
      <c r="BJ150" s="56"/>
      <c r="BK150" s="62"/>
      <c r="BL150" s="61"/>
      <c r="BM150" s="61"/>
      <c r="BN150" s="61"/>
      <c r="BO150" s="61"/>
      <c r="BP150" s="61"/>
      <c r="BR150" s="56"/>
      <c r="BS150" s="56"/>
      <c r="BT150" s="56"/>
      <c r="BU150" s="56"/>
      <c r="BV150" s="56"/>
    </row>
    <row r="151" spans="1:74" x14ac:dyDescent="0.2">
      <c r="A151" s="113"/>
      <c r="B151" s="114">
        <v>51</v>
      </c>
      <c r="C151" s="236" t="s">
        <v>313</v>
      </c>
      <c r="D151" s="191"/>
      <c r="E151" s="244"/>
      <c r="F151" s="127">
        <f>BI151</f>
        <v>0</v>
      </c>
      <c r="G151" s="127"/>
      <c r="H151" s="133" t="s">
        <v>22</v>
      </c>
      <c r="I151" s="128"/>
      <c r="J151" s="134">
        <f t="shared" ref="J151:J154" si="19">HLOOKUP($Z151,$AB$116:$AF$183,$AA151,FALSE)*$F151</f>
        <v>0</v>
      </c>
      <c r="K151" s="129">
        <f t="shared" si="11"/>
        <v>0</v>
      </c>
      <c r="L151" s="130">
        <f t="shared" si="12"/>
        <v>0</v>
      </c>
      <c r="M151" s="131">
        <f t="shared" si="13"/>
        <v>0</v>
      </c>
      <c r="N151" s="129">
        <f t="shared" si="14"/>
        <v>0</v>
      </c>
      <c r="O151" s="130">
        <f t="shared" si="15"/>
        <v>0</v>
      </c>
      <c r="T151" s="91" t="str">
        <f>HLOOKUP(Z151,$U$116:$Y$183,AA151,FALSE)</f>
        <v>5 n.v.t.</v>
      </c>
      <c r="U151" s="263" t="s">
        <v>121</v>
      </c>
      <c r="V151" s="263" t="s">
        <v>106</v>
      </c>
      <c r="W151" s="263" t="s">
        <v>83</v>
      </c>
      <c r="X151" s="263" t="s">
        <v>84</v>
      </c>
      <c r="Y151" s="263" t="s">
        <v>62</v>
      </c>
      <c r="Z151" s="2">
        <f>HLOOKUP(Z$116,$BR$116:$BV$183,BH151,FALSE)</f>
        <v>5</v>
      </c>
      <c r="AA151" s="35">
        <f t="shared" si="16"/>
        <v>36</v>
      </c>
      <c r="AB151" s="35">
        <f>HLOOKUP(AB$116,Kostengegevens!$AK$74:$BN$135,Stappen!$AA151,FALSE)</f>
        <v>0</v>
      </c>
      <c r="AC151" s="35">
        <f>HLOOKUP(AC$116,Kostengegevens!$AK$74:$BN$135,Stappen!$AA151,FALSE)</f>
        <v>0</v>
      </c>
      <c r="AD151" s="35">
        <f>HLOOKUP(AD$116,Kostengegevens!$AK$74:$BN$135,Stappen!$AA151,FALSE)</f>
        <v>0</v>
      </c>
      <c r="AE151" s="35">
        <f>HLOOKUP(AE$116,Kostengegevens!$AK$74:$BN$135,Stappen!$AA151,FALSE)</f>
        <v>0</v>
      </c>
      <c r="AF151" s="3"/>
      <c r="AG151" s="35">
        <f>HLOOKUP(AG$116+10,Kostengegevens!$AK$74:$BN$135,Stappen!$AA151,FALSE)</f>
        <v>0</v>
      </c>
      <c r="AH151" s="35">
        <f>HLOOKUP(AH$116+10,Kostengegevens!$AK$74:$BN$135,Stappen!$AA151,FALSE)</f>
        <v>0</v>
      </c>
      <c r="AI151" s="35">
        <f>HLOOKUP(AI$116+10,Kostengegevens!$AK$74:$BN$135,Stappen!$AA151,FALSE)</f>
        <v>0</v>
      </c>
      <c r="AJ151" s="35">
        <f>HLOOKUP(AJ$116+10,Kostengegevens!$AK$74:$BN$135,Stappen!$AA151,FALSE)</f>
        <v>0</v>
      </c>
      <c r="AK151" s="3"/>
      <c r="AL151" s="35">
        <f>HLOOKUP(AL$116+20,Kostengegevens!$AK$74:$BN$135,Stappen!$AA151,FALSE)</f>
        <v>0</v>
      </c>
      <c r="AM151" s="35">
        <f>HLOOKUP(AM$116+20,Kostengegevens!$AK$74:$BN$135,Stappen!$AA151,FALSE)</f>
        <v>0</v>
      </c>
      <c r="AN151" s="35">
        <f>HLOOKUP(AN$116+20,Kostengegevens!$AK$74:$BN$135,Stappen!$AA151,FALSE)</f>
        <v>0</v>
      </c>
      <c r="AO151" s="35">
        <f>HLOOKUP(AO$116+20,Kostengegevens!$AK$74:$BN$135,Stappen!$AA151,FALSE)</f>
        <v>0</v>
      </c>
      <c r="AP151" s="3"/>
      <c r="AQ151" s="35">
        <f>HLOOKUP(AQ$116+30,Kostengegevens!$AK$74:$BN$135,Stappen!$AA151,FALSE)</f>
        <v>0</v>
      </c>
      <c r="AR151" s="35">
        <f>HLOOKUP(AR$116+30,Kostengegevens!$AK$74:$BN$135,Stappen!$AA151,FALSE)</f>
        <v>0</v>
      </c>
      <c r="AS151" s="35">
        <f>HLOOKUP(AS$116+30,Kostengegevens!$AK$74:$BN$135,Stappen!$AA151,FALSE)</f>
        <v>0</v>
      </c>
      <c r="AT151" s="35">
        <f>HLOOKUP(AT$116+30,Kostengegevens!$AK$74:$BN$135,Stappen!$AA151,FALSE)</f>
        <v>0</v>
      </c>
      <c r="AU151" s="3"/>
      <c r="AV151" s="35">
        <f>HLOOKUP(AV$116+40,Kostengegevens!$AK$74:$BN$135,Stappen!$AA151,FALSE)</f>
        <v>0</v>
      </c>
      <c r="AW151" s="35">
        <f>HLOOKUP(AW$116+40,Kostengegevens!$AK$74:$BN$135,Stappen!$AA151,FALSE)</f>
        <v>0</v>
      </c>
      <c r="AX151" s="35">
        <f>HLOOKUP(AX$116+40,Kostengegevens!$AK$74:$BN$135,Stappen!$AA151,FALSE)</f>
        <v>0</v>
      </c>
      <c r="AY151" s="35">
        <f>HLOOKUP(AY$116+40,Kostengegevens!$AK$74:$BN$135,Stappen!$AA151,FALSE)</f>
        <v>0</v>
      </c>
      <c r="AZ151" s="3"/>
      <c r="BA151" s="35">
        <f>HLOOKUP(BA$116+50,Kostengegevens!$AK$74:$BN$135,Stappen!$AA151,FALSE)</f>
        <v>0</v>
      </c>
      <c r="BB151" s="35">
        <f>HLOOKUP(BB$116+50,Kostengegevens!$AK$74:$BN$135,Stappen!$AA151,FALSE)</f>
        <v>0</v>
      </c>
      <c r="BC151" s="35">
        <f>HLOOKUP(BC$116+50,Kostengegevens!$AK$74:$BN$135,Stappen!$AA151,FALSE)</f>
        <v>0</v>
      </c>
      <c r="BD151" s="35">
        <f>HLOOKUP(BD$116+50,Kostengegevens!$AK$74:$BN$135,Stappen!$AA151,FALSE)</f>
        <v>0</v>
      </c>
      <c r="BE151" s="3"/>
      <c r="BG151" s="2">
        <v>11</v>
      </c>
      <c r="BH151" s="57">
        <v>36</v>
      </c>
      <c r="BI151" s="56">
        <f>BJ151</f>
        <v>0</v>
      </c>
      <c r="BJ151" s="56">
        <f>HLOOKUP(Stappen!BJ$116,Stappen!$BL$116:$BP$178,BH151,FALSE)*VLOOKUP($BG151,Stappen!$BH$24:$BJ$46,3,FALSE)</f>
        <v>0</v>
      </c>
      <c r="BK151" s="62" t="s">
        <v>22</v>
      </c>
      <c r="BL151" s="61">
        <f>Stappen!BL151</f>
        <v>0</v>
      </c>
      <c r="BM151" s="61">
        <f>Stappen!BM151</f>
        <v>0</v>
      </c>
      <c r="BN151" s="61">
        <f>Stappen!BN151</f>
        <v>0</v>
      </c>
      <c r="BO151" s="61">
        <f>Stappen!BO151</f>
        <v>0</v>
      </c>
      <c r="BP151" s="61">
        <f>Stappen!BP151</f>
        <v>0</v>
      </c>
      <c r="BR151" s="56">
        <v>5</v>
      </c>
      <c r="BS151" s="56">
        <v>5</v>
      </c>
      <c r="BT151" s="56">
        <f>Stappen!BT151</f>
        <v>1</v>
      </c>
      <c r="BU151" s="56">
        <f>Stappen!BU151</f>
        <v>1</v>
      </c>
      <c r="BV151" s="56">
        <f>Stappen!BV151</f>
        <v>0</v>
      </c>
    </row>
    <row r="152" spans="1:74" x14ac:dyDescent="0.2">
      <c r="A152" s="113"/>
      <c r="B152" s="114">
        <v>52</v>
      </c>
      <c r="C152" s="236" t="s">
        <v>314</v>
      </c>
      <c r="D152" s="191"/>
      <c r="E152" s="244"/>
      <c r="F152" s="127">
        <f>BI152</f>
        <v>150</v>
      </c>
      <c r="G152" s="127"/>
      <c r="H152" s="133" t="s">
        <v>22</v>
      </c>
      <c r="I152" s="128"/>
      <c r="J152" s="134">
        <f t="shared" si="19"/>
        <v>1342.0327500008625</v>
      </c>
      <c r="K152" s="129">
        <f t="shared" si="11"/>
        <v>132.17925000026298</v>
      </c>
      <c r="L152" s="130">
        <f t="shared" si="12"/>
        <v>298.86824999857708</v>
      </c>
      <c r="M152" s="131">
        <f t="shared" si="13"/>
        <v>5983.2142499953989</v>
      </c>
      <c r="N152" s="129">
        <f t="shared" si="14"/>
        <v>41.595375000019885</v>
      </c>
      <c r="O152" s="130">
        <f t="shared" si="15"/>
        <v>64.792972500566748</v>
      </c>
      <c r="T152" s="91" t="str">
        <f>HLOOKUP(Z152,$U$116:$Y$183,AA152,FALSE)</f>
        <v>1 woningbouw</v>
      </c>
      <c r="U152" s="263" t="s">
        <v>68</v>
      </c>
      <c r="V152" s="263" t="s">
        <v>118</v>
      </c>
      <c r="W152" s="263" t="s">
        <v>119</v>
      </c>
      <c r="X152" s="263" t="s">
        <v>120</v>
      </c>
      <c r="Y152" s="263" t="s">
        <v>62</v>
      </c>
      <c r="Z152" s="2">
        <f>HLOOKUP(Z$116,$BR$116:$BV$183,BH152,FALSE)</f>
        <v>1</v>
      </c>
      <c r="AA152" s="35">
        <f t="shared" si="16"/>
        <v>37</v>
      </c>
      <c r="AB152" s="35">
        <f>HLOOKUP(AB$116,Kostengegevens!$AK$74:$BN$135,Stappen!$AA152,FALSE)</f>
        <v>8.94688500000575</v>
      </c>
      <c r="AC152" s="35">
        <f>HLOOKUP(AC$116,Kostengegevens!$AK$74:$BN$135,Stappen!$AA152,FALSE)</f>
        <v>5.5374850000016522</v>
      </c>
      <c r="AD152" s="35">
        <f>HLOOKUP(AD$116,Kostengegevens!$AK$74:$BN$135,Stappen!$AA152,FALSE)</f>
        <v>5.5374850000016522</v>
      </c>
      <c r="AE152" s="35">
        <f>HLOOKUP(AE$116,Kostengegevens!$AK$74:$BN$135,Stappen!$AA152,FALSE)</f>
        <v>5.1911050000144314</v>
      </c>
      <c r="AF152" s="3"/>
      <c r="AG152" s="35">
        <f>HLOOKUP(AG$116+10,Kostengegevens!$AK$74:$BN$135,Stappen!$AA152,FALSE)</f>
        <v>0.88119500000175321</v>
      </c>
      <c r="AH152" s="35">
        <f>HLOOKUP(AH$116+10,Kostengegevens!$AK$74:$BN$135,Stappen!$AA152,FALSE)</f>
        <v>0.49559499999986656</v>
      </c>
      <c r="AI152" s="35">
        <f>HLOOKUP(AI$116+10,Kostengegevens!$AK$74:$BN$135,Stappen!$AA152,FALSE)</f>
        <v>0.49559499999986656</v>
      </c>
      <c r="AJ152" s="35">
        <f>HLOOKUP(AJ$116+10,Kostengegevens!$AK$74:$BN$135,Stappen!$AA152,FALSE)</f>
        <v>0.534015000000295</v>
      </c>
      <c r="AK152" s="3"/>
      <c r="AL152" s="35">
        <f>HLOOKUP(AL$116+20,Kostengegevens!$AK$74:$BN$135,Stappen!$AA152,FALSE)</f>
        <v>1.9924549999905139</v>
      </c>
      <c r="AM152" s="35">
        <f>HLOOKUP(AM$116+20,Kostengegevens!$AK$74:$BN$135,Stappen!$AA152,FALSE)</f>
        <v>1.0745549999974173</v>
      </c>
      <c r="AN152" s="35">
        <f>HLOOKUP(AN$116+20,Kostengegevens!$AK$74:$BN$135,Stappen!$AA152,FALSE)</f>
        <v>1.0745549999974173</v>
      </c>
      <c r="AO152" s="35">
        <f>HLOOKUP(AO$116+20,Kostengegevens!$AK$74:$BN$135,Stappen!$AA152,FALSE)</f>
        <v>1.3350849999878847</v>
      </c>
      <c r="AP152" s="3"/>
      <c r="AQ152" s="35">
        <f>HLOOKUP(AQ$116+30,Kostengegevens!$AK$74:$BN$135,Stappen!$AA152,FALSE)</f>
        <v>39.888094999969326</v>
      </c>
      <c r="AR152" s="35">
        <f>HLOOKUP(AR$116+30,Kostengegevens!$AK$74:$BN$135,Stappen!$AA152,FALSE)</f>
        <v>23.165114999999787</v>
      </c>
      <c r="AS152" s="35">
        <f>HLOOKUP(AS$116+30,Kostengegevens!$AK$74:$BN$135,Stappen!$AA152,FALSE)</f>
        <v>23.165114999999787</v>
      </c>
      <c r="AT152" s="35">
        <f>HLOOKUP(AT$116+30,Kostengegevens!$AK$74:$BN$135,Stappen!$AA152,FALSE)</f>
        <v>28.686119999987568</v>
      </c>
      <c r="AU152" s="3"/>
      <c r="AV152" s="35">
        <f>HLOOKUP(AV$116+40,Kostengegevens!$AK$74:$BN$135,Stappen!$AA152,FALSE)</f>
        <v>0.27730250000013257</v>
      </c>
      <c r="AW152" s="35">
        <f>HLOOKUP(AW$116+40,Kostengegevens!$AK$74:$BN$135,Stappen!$AA152,FALSE)</f>
        <v>0.10451750000049742</v>
      </c>
      <c r="AX152" s="35">
        <f>HLOOKUP(AX$116+40,Kostengegevens!$AK$74:$BN$135,Stappen!$AA152,FALSE)</f>
        <v>0.10451750000049742</v>
      </c>
      <c r="AY152" s="35">
        <f>HLOOKUP(AY$116+40,Kostengegevens!$AK$74:$BN$135,Stappen!$AA152,FALSE)</f>
        <v>0.12431499999979678</v>
      </c>
      <c r="AZ152" s="3"/>
      <c r="BA152" s="35">
        <f>HLOOKUP(BA$116+50,Kostengegevens!$AK$74:$BN$135,Stappen!$AA152,FALSE)</f>
        <v>0.43195315000377832</v>
      </c>
      <c r="BB152" s="35">
        <f>HLOOKUP(BB$116+50,Kostengegevens!$AK$74:$BN$135,Stappen!$AA152,FALSE)</f>
        <v>0.23495534999955225</v>
      </c>
      <c r="BC152" s="35">
        <f>HLOOKUP(BC$116+50,Kostengegevens!$AK$74:$BN$135,Stappen!$AA152,FALSE)</f>
        <v>0.23495534999955225</v>
      </c>
      <c r="BD152" s="35">
        <f>HLOOKUP(BD$116+50,Kostengegevens!$AK$74:$BN$135,Stappen!$AA152,FALSE)</f>
        <v>0.20453000000139809</v>
      </c>
      <c r="BE152" s="3"/>
      <c r="BG152" s="2">
        <v>11</v>
      </c>
      <c r="BH152" s="57">
        <v>37</v>
      </c>
      <c r="BI152" s="56">
        <f>BJ152</f>
        <v>150</v>
      </c>
      <c r="BJ152" s="56">
        <f>HLOOKUP(Stappen!BJ$116,Stappen!$BL$116:$BP$178,BH152,FALSE)*VLOOKUP($BG152,Stappen!$BH$24:$BJ$46,3,FALSE)</f>
        <v>150</v>
      </c>
      <c r="BK152" s="62" t="s">
        <v>22</v>
      </c>
      <c r="BL152" s="61">
        <f>Stappen!BL152</f>
        <v>1</v>
      </c>
      <c r="BM152" s="61">
        <f>Stappen!BM152</f>
        <v>1</v>
      </c>
      <c r="BN152" s="61">
        <f>Stappen!BN152</f>
        <v>1</v>
      </c>
      <c r="BO152" s="61">
        <f>Stappen!BO152</f>
        <v>1</v>
      </c>
      <c r="BP152" s="61">
        <f>Stappen!BP152</f>
        <v>1</v>
      </c>
      <c r="BR152" s="56">
        <f>Stappen!BR152</f>
        <v>1</v>
      </c>
      <c r="BS152" s="56">
        <f>Stappen!BS152</f>
        <v>1</v>
      </c>
      <c r="BT152" s="56">
        <f>Stappen!BT152</f>
        <v>2</v>
      </c>
      <c r="BU152" s="56">
        <f>Stappen!BU152</f>
        <v>2</v>
      </c>
      <c r="BV152" s="56">
        <f>Stappen!BV152</f>
        <v>0</v>
      </c>
    </row>
    <row r="153" spans="1:74" x14ac:dyDescent="0.2">
      <c r="A153" s="113"/>
      <c r="B153" s="114">
        <v>53</v>
      </c>
      <c r="C153" s="236" t="s">
        <v>315</v>
      </c>
      <c r="D153" s="191"/>
      <c r="E153" s="244"/>
      <c r="F153" s="127">
        <f>BI153</f>
        <v>150</v>
      </c>
      <c r="G153" s="127"/>
      <c r="H153" s="133" t="s">
        <v>22</v>
      </c>
      <c r="I153" s="128"/>
      <c r="J153" s="134">
        <f t="shared" si="19"/>
        <v>2417.2552500013353</v>
      </c>
      <c r="K153" s="129">
        <f t="shared" si="11"/>
        <v>272.31225000111294</v>
      </c>
      <c r="L153" s="130">
        <f t="shared" si="12"/>
        <v>301.48350000085884</v>
      </c>
      <c r="M153" s="131">
        <f t="shared" si="13"/>
        <v>6156.8145000161167</v>
      </c>
      <c r="N153" s="129">
        <f t="shared" si="14"/>
        <v>60.134250000663769</v>
      </c>
      <c r="O153" s="130">
        <f t="shared" si="15"/>
        <v>700.91429250049373</v>
      </c>
      <c r="T153" s="91" t="str">
        <f>HLOOKUP(Z153,$U$116:$Y$183,AA153,FALSE)</f>
        <v>1 woningbouw</v>
      </c>
      <c r="U153" s="263" t="s">
        <v>68</v>
      </c>
      <c r="V153" s="263" t="s">
        <v>118</v>
      </c>
      <c r="W153" s="263" t="s">
        <v>119</v>
      </c>
      <c r="X153" s="263" t="s">
        <v>120</v>
      </c>
      <c r="Y153" s="263" t="s">
        <v>62</v>
      </c>
      <c r="Z153" s="2">
        <f>HLOOKUP(Z$116,$BR$116:$BV$183,BH153,FALSE)</f>
        <v>1</v>
      </c>
      <c r="AA153" s="35">
        <f t="shared" si="16"/>
        <v>38</v>
      </c>
      <c r="AB153" s="42">
        <f>HLOOKUP(AB$116,Kostengegevens!$AK$74:$BN$135,Stappen!$AA153,FALSE)+AB88+AB89</f>
        <v>16.115035000008902</v>
      </c>
      <c r="AC153" s="42">
        <f>HLOOKUP(AC$116,Kostengegevens!$AK$74:$BN$135,Stappen!$AA153,FALSE)+AC88+AC89</f>
        <v>6.0023849999975027</v>
      </c>
      <c r="AD153" s="42">
        <f>HLOOKUP(AD$116,Kostengegevens!$AK$74:$BN$135,Stappen!$AA153,FALSE)+AD88+AD89</f>
        <v>6.0023849999975027</v>
      </c>
      <c r="AE153" s="42">
        <f>HLOOKUP(AE$116,Kostengegevens!$AK$74:$BN$135,Stappen!$AA153,FALSE)+AE88+AE89</f>
        <v>2.430169999993268</v>
      </c>
      <c r="AF153" s="3"/>
      <c r="AG153" s="42">
        <f>HLOOKUP(AG$116+10,Kostengegevens!$AK$74:$BN$135,Stappen!$AA153,FALSE)+AG88+AG89</f>
        <v>1.8154150000074196</v>
      </c>
      <c r="AH153" s="42">
        <f>HLOOKUP(AH$116+10,Kostengegevens!$AK$74:$BN$135,Stappen!$AA153,FALSE)+AH88+AH89</f>
        <v>0.82047500000237505</v>
      </c>
      <c r="AI153" s="42">
        <f>HLOOKUP(AI$116+10,Kostengegevens!$AK$74:$BN$135,Stappen!$AA153,FALSE)+AI88+AI89</f>
        <v>0.82047500000237505</v>
      </c>
      <c r="AJ153" s="42">
        <f>HLOOKUP(AJ$116+10,Kostengegevens!$AK$74:$BN$135,Stappen!$AA153,FALSE)+AJ88+AJ89</f>
        <v>0.31235000000128821</v>
      </c>
      <c r="AK153" s="3"/>
      <c r="AL153" s="42">
        <f>HLOOKUP(AL$116+20,Kostengegevens!$AK$74:$BN$135,Stappen!$AA153,FALSE)+AL88+AL89</f>
        <v>2.0098900000057256</v>
      </c>
      <c r="AM153" s="42">
        <f>HLOOKUP(AM$116+20,Kostengegevens!$AK$74:$BN$135,Stappen!$AA153,FALSE)+AM88+AM89</f>
        <v>1.1847549999888543</v>
      </c>
      <c r="AN153" s="42">
        <f>HLOOKUP(AN$116+20,Kostengegevens!$AK$74:$BN$135,Stappen!$AA153,FALSE)+AN88+AN89</f>
        <v>1.1847549999883995</v>
      </c>
      <c r="AO153" s="42">
        <f>HLOOKUP(AO$116+20,Kostengegevens!$AK$74:$BN$135,Stappen!$AA153,FALSE)+AO88+AO89</f>
        <v>0.32405499999822496</v>
      </c>
      <c r="AP153" s="3"/>
      <c r="AQ153" s="42">
        <f>HLOOKUP(AQ$116+30,Kostengegevens!$AK$74:$BN$135,Stappen!$AA153,FALSE)+AQ88+AQ89</f>
        <v>41.045430000107444</v>
      </c>
      <c r="AR153" s="42">
        <f>HLOOKUP(AR$116+30,Kostengegevens!$AK$74:$BN$135,Stappen!$AA153,FALSE)+AR88+AR89</f>
        <v>21.843490000101156</v>
      </c>
      <c r="AS153" s="42">
        <f>HLOOKUP(AS$116+30,Kostengegevens!$AK$74:$BN$135,Stappen!$AA153,FALSE)+AS88+AS89</f>
        <v>21.843490000101156</v>
      </c>
      <c r="AT153" s="42">
        <f>HLOOKUP(AT$116+30,Kostengegevens!$AK$74:$BN$135,Stappen!$AA153,FALSE)+AT88+AT89</f>
        <v>5.5123349999921629</v>
      </c>
      <c r="AU153" s="3"/>
      <c r="AV153" s="42">
        <f>HLOOKUP(AV$116+40,Kostengegevens!$AK$74:$BN$135,Stappen!$AA153,FALSE)+AV88+AV89</f>
        <v>0.40089500000442513</v>
      </c>
      <c r="AW153" s="42">
        <f>HLOOKUP(AW$116+40,Kostengegevens!$AK$74:$BN$135,Stappen!$AA153,FALSE)+AW88+AW89</f>
        <v>0.18994500000155767</v>
      </c>
      <c r="AX153" s="42">
        <f>HLOOKUP(AX$116+40,Kostengegevens!$AK$74:$BN$135,Stappen!$AA153,FALSE)+AX88+AX89</f>
        <v>0.18994500000155767</v>
      </c>
      <c r="AY153" s="42">
        <f>HLOOKUP(AY$116+40,Kostengegevens!$AK$74:$BN$135,Stappen!$AA153,FALSE)+AY88+AY89</f>
        <v>6.8399999999769534E-2</v>
      </c>
      <c r="AZ153" s="3"/>
      <c r="BA153" s="42">
        <f>HLOOKUP(BA$116+50,Kostengegevens!$AK$74:$BN$135,Stappen!$AA153,FALSE)+BA88+BA89</f>
        <v>4.6727619500032915</v>
      </c>
      <c r="BB153" s="42">
        <f>HLOOKUP(BB$116+50,Kostengegevens!$AK$74:$BN$135,Stappen!$AA153,FALSE)+BB88+BB89</f>
        <v>1.7587316000009423</v>
      </c>
      <c r="BC153" s="42">
        <f>HLOOKUP(BC$116+50,Kostengegevens!$AK$74:$BN$135,Stappen!$AA153,FALSE)+BC88+BC89</f>
        <v>1.7587316000009423</v>
      </c>
      <c r="BD153" s="42">
        <f>HLOOKUP(BD$116+50,Kostengegevens!$AK$74:$BN$135,Stappen!$AA153,FALSE)+BD88+BD89</f>
        <v>0.88395624999969868</v>
      </c>
      <c r="BE153" s="3"/>
      <c r="BG153" s="2">
        <v>11</v>
      </c>
      <c r="BH153" s="57">
        <v>38</v>
      </c>
      <c r="BI153" s="56">
        <f>BJ153</f>
        <v>150</v>
      </c>
      <c r="BJ153" s="56">
        <f>HLOOKUP(Stappen!BJ$116,Stappen!$BL$116:$BP$178,BH153,FALSE)*VLOOKUP($BG153,Stappen!$BH$24:$BJ$46,3,FALSE)</f>
        <v>150</v>
      </c>
      <c r="BK153" s="62" t="s">
        <v>22</v>
      </c>
      <c r="BL153" s="61">
        <f>Stappen!BL153</f>
        <v>1</v>
      </c>
      <c r="BM153" s="61">
        <f>Stappen!BM153</f>
        <v>1</v>
      </c>
      <c r="BN153" s="61">
        <f>Stappen!BN153</f>
        <v>1</v>
      </c>
      <c r="BO153" s="61">
        <f>Stappen!BO153</f>
        <v>1</v>
      </c>
      <c r="BP153" s="61">
        <f>Stappen!BP153</f>
        <v>1</v>
      </c>
      <c r="BR153" s="56">
        <f>Stappen!BR153</f>
        <v>1</v>
      </c>
      <c r="BS153" s="56">
        <f>Stappen!BS153</f>
        <v>1</v>
      </c>
      <c r="BT153" s="56">
        <f>Stappen!BT153</f>
        <v>2</v>
      </c>
      <c r="BU153" s="56">
        <f>Stappen!BU153</f>
        <v>2</v>
      </c>
      <c r="BV153" s="56">
        <f>Stappen!BV153</f>
        <v>0</v>
      </c>
    </row>
    <row r="154" spans="1:74" x14ac:dyDescent="0.2">
      <c r="A154" s="113"/>
      <c r="B154" s="114">
        <v>54</v>
      </c>
      <c r="C154" s="236" t="s">
        <v>316</v>
      </c>
      <c r="D154" s="191"/>
      <c r="E154" s="244"/>
      <c r="F154" s="127">
        <f>BI154</f>
        <v>150</v>
      </c>
      <c r="G154" s="127"/>
      <c r="H154" s="133" t="s">
        <v>22</v>
      </c>
      <c r="I154" s="128"/>
      <c r="J154" s="134">
        <f t="shared" si="19"/>
        <v>385.31024999867896</v>
      </c>
      <c r="K154" s="129">
        <f t="shared" si="11"/>
        <v>21.904500000067628</v>
      </c>
      <c r="L154" s="130">
        <f t="shared" si="12"/>
        <v>55.020750000085172</v>
      </c>
      <c r="M154" s="131">
        <f t="shared" si="13"/>
        <v>842.40674999546172</v>
      </c>
      <c r="N154" s="129">
        <f t="shared" si="14"/>
        <v>5.1157499999931133</v>
      </c>
      <c r="O154" s="130">
        <f t="shared" si="15"/>
        <v>4.0117500000519613</v>
      </c>
      <c r="T154" s="91" t="str">
        <f>HLOOKUP(Z154,$U$116:$Y$183,AA154,FALSE)</f>
        <v>1 woningbouw</v>
      </c>
      <c r="U154" s="263" t="s">
        <v>68</v>
      </c>
      <c r="V154" s="263" t="s">
        <v>118</v>
      </c>
      <c r="W154" s="263" t="s">
        <v>119</v>
      </c>
      <c r="X154" s="263" t="s">
        <v>120</v>
      </c>
      <c r="Y154" s="263" t="s">
        <v>62</v>
      </c>
      <c r="Z154" s="2">
        <f>HLOOKUP(Z$116,$BR$116:$BV$183,BH154,FALSE)</f>
        <v>1</v>
      </c>
      <c r="AA154" s="35">
        <f t="shared" si="16"/>
        <v>39</v>
      </c>
      <c r="AB154" s="35">
        <f>HLOOKUP(AB$116,Kostengegevens!$AK$74:$BN$135,Stappen!$AA154,FALSE)</f>
        <v>2.568734999991193</v>
      </c>
      <c r="AC154" s="35">
        <f>HLOOKUP(AC$116,Kostengegevens!$AK$74:$BN$135,Stappen!$AA154,FALSE)</f>
        <v>1.3316350000004604</v>
      </c>
      <c r="AD154" s="35">
        <f>HLOOKUP(AD$116,Kostengegevens!$AK$74:$BN$135,Stappen!$AA154,FALSE)</f>
        <v>1.3316350000004604</v>
      </c>
      <c r="AE154" s="35">
        <f>HLOOKUP(AE$116,Kostengegevens!$AK$74:$BN$135,Stappen!$AA154,FALSE)</f>
        <v>0.46760999999651176</v>
      </c>
      <c r="AF154" s="3"/>
      <c r="AG154" s="35">
        <f>HLOOKUP(AG$116+10,Kostengegevens!$AK$74:$BN$135,Stappen!$AA154,FALSE)</f>
        <v>0.14603000000045085</v>
      </c>
      <c r="AH154" s="35">
        <f>HLOOKUP(AH$116+10,Kostengegevens!$AK$74:$BN$135,Stappen!$AA154,FALSE)</f>
        <v>6.5519999999992251E-2</v>
      </c>
      <c r="AI154" s="35">
        <f>HLOOKUP(AI$116+10,Kostengegevens!$AK$74:$BN$135,Stappen!$AA154,FALSE)</f>
        <v>6.5519999999992251E-2</v>
      </c>
      <c r="AJ154" s="35">
        <f>HLOOKUP(AJ$116+10,Kostengegevens!$AK$74:$BN$135,Stappen!$AA154,FALSE)</f>
        <v>3.0875000000037289E-2</v>
      </c>
      <c r="AK154" s="3"/>
      <c r="AL154" s="35">
        <f>HLOOKUP(AL$116+20,Kostengegevens!$AK$74:$BN$135,Stappen!$AA154,FALSE)</f>
        <v>0.36680500000056782</v>
      </c>
      <c r="AM154" s="35">
        <f>HLOOKUP(AM$116+20,Kostengegevens!$AK$74:$BN$135,Stappen!$AA154,FALSE)</f>
        <v>0.16449500000157968</v>
      </c>
      <c r="AN154" s="35">
        <f>HLOOKUP(AN$116+20,Kostengegevens!$AK$74:$BN$135,Stappen!$AA154,FALSE)</f>
        <v>0.16449500000135231</v>
      </c>
      <c r="AO154" s="35">
        <f>HLOOKUP(AO$116+20,Kostengegevens!$AK$74:$BN$135,Stappen!$AA154,FALSE)</f>
        <v>7.8129999998509447E-2</v>
      </c>
      <c r="AP154" s="3"/>
      <c r="AQ154" s="35">
        <f>HLOOKUP(AQ$116+30,Kostengegevens!$AK$74:$BN$135,Stappen!$AA154,FALSE)</f>
        <v>5.6160449999697448</v>
      </c>
      <c r="AR154" s="35">
        <f>HLOOKUP(AR$116+30,Kostengegevens!$AK$74:$BN$135,Stappen!$AA154,FALSE)</f>
        <v>2.5183950000209734</v>
      </c>
      <c r="AS154" s="35">
        <f>HLOOKUP(AS$116+30,Kostengegevens!$AK$74:$BN$135,Stappen!$AA154,FALSE)</f>
        <v>2.5183950000209734</v>
      </c>
      <c r="AT154" s="35">
        <f>HLOOKUP(AT$116+30,Kostengegevens!$AK$74:$BN$135,Stappen!$AA154,FALSE)</f>
        <v>1.1922299999860115</v>
      </c>
      <c r="AU154" s="3"/>
      <c r="AV154" s="35">
        <f>HLOOKUP(AV$116+40,Kostengegevens!$AK$74:$BN$135,Stappen!$AA154,FALSE)</f>
        <v>3.4104999999954089E-2</v>
      </c>
      <c r="AW154" s="35">
        <f>HLOOKUP(AW$116+40,Kostengegevens!$AK$74:$BN$135,Stappen!$AA154,FALSE)</f>
        <v>1.5235000000188847E-2</v>
      </c>
      <c r="AX154" s="35">
        <f>HLOOKUP(AX$116+40,Kostengegevens!$AK$74:$BN$135,Stappen!$AA154,FALSE)</f>
        <v>1.5235000000188847E-2</v>
      </c>
      <c r="AY154" s="35">
        <f>HLOOKUP(AY$116+40,Kostengegevens!$AK$74:$BN$135,Stappen!$AA154,FALSE)</f>
        <v>7.3449999999866122E-3</v>
      </c>
      <c r="AZ154" s="3"/>
      <c r="BA154" s="35">
        <f>HLOOKUP(BA$116+50,Kostengegevens!$AK$74:$BN$135,Stappen!$AA154,FALSE)</f>
        <v>2.6745000000346408E-2</v>
      </c>
      <c r="BB154" s="35">
        <f>HLOOKUP(BB$116+50,Kostengegevens!$AK$74:$BN$135,Stappen!$AA154,FALSE)</f>
        <v>1.1934999999880347E-2</v>
      </c>
      <c r="BC154" s="35">
        <f>HLOOKUP(BC$116+50,Kostengegevens!$AK$74:$BN$135,Stappen!$AA154,FALSE)</f>
        <v>1.1934999999880347E-2</v>
      </c>
      <c r="BD154" s="35">
        <f>HLOOKUP(BD$116+50,Kostengegevens!$AK$74:$BN$135,Stappen!$AA154,FALSE)</f>
        <v>5.8500000001231456E-3</v>
      </c>
      <c r="BE154" s="3"/>
      <c r="BG154" s="2">
        <v>11</v>
      </c>
      <c r="BH154" s="57">
        <v>39</v>
      </c>
      <c r="BI154" s="56">
        <f>BJ154</f>
        <v>150</v>
      </c>
      <c r="BJ154" s="56">
        <f>HLOOKUP(Stappen!BJ$116,Stappen!$BL$116:$BP$178,BH154,FALSE)*VLOOKUP($BG154,Stappen!$BH$24:$BJ$46,3,FALSE)</f>
        <v>150</v>
      </c>
      <c r="BK154" s="62" t="s">
        <v>22</v>
      </c>
      <c r="BL154" s="61">
        <f>Stappen!BL154</f>
        <v>1</v>
      </c>
      <c r="BM154" s="61">
        <f>Stappen!BM154</f>
        <v>1</v>
      </c>
      <c r="BN154" s="61">
        <f>Stappen!BN154</f>
        <v>1</v>
      </c>
      <c r="BO154" s="61">
        <f>Stappen!BO154</f>
        <v>1</v>
      </c>
      <c r="BP154" s="61">
        <f>Stappen!BP154</f>
        <v>1</v>
      </c>
      <c r="BR154" s="56">
        <f>Stappen!BR154</f>
        <v>1</v>
      </c>
      <c r="BS154" s="56">
        <f>Stappen!BS154</f>
        <v>1</v>
      </c>
      <c r="BT154" s="56">
        <f>Stappen!BT154</f>
        <v>2</v>
      </c>
      <c r="BU154" s="56">
        <f>Stappen!BU154</f>
        <v>2</v>
      </c>
      <c r="BV154" s="56">
        <f>Stappen!BV154</f>
        <v>0</v>
      </c>
    </row>
    <row r="155" spans="1:74" x14ac:dyDescent="0.2">
      <c r="A155" s="120" t="s">
        <v>172</v>
      </c>
      <c r="B155" s="114"/>
      <c r="C155" s="235" t="s">
        <v>10</v>
      </c>
      <c r="D155" s="191"/>
      <c r="E155" s="133"/>
      <c r="F155" s="133"/>
      <c r="G155" s="133"/>
      <c r="H155" s="133"/>
      <c r="I155" s="128"/>
      <c r="J155" s="134"/>
      <c r="K155" s="129"/>
      <c r="L155" s="130"/>
      <c r="M155" s="131"/>
      <c r="N155" s="129"/>
      <c r="O155" s="130"/>
      <c r="P155" s="84"/>
      <c r="T155" s="91"/>
      <c r="U155" s="263"/>
      <c r="V155" s="263"/>
      <c r="W155" s="263"/>
      <c r="X155" s="263"/>
      <c r="Y155" s="263"/>
      <c r="AA155" s="35">
        <f t="shared" si="16"/>
        <v>40</v>
      </c>
      <c r="AB155" s="35">
        <f>HLOOKUP(AB$116,Kostengegevens!$AK$74:$BN$135,Stappen!$AA155,FALSE)</f>
        <v>0</v>
      </c>
      <c r="AC155" s="35">
        <f>HLOOKUP(AC$116,Kostengegevens!$AK$74:$BN$135,Stappen!$AA155,FALSE)</f>
        <v>0</v>
      </c>
      <c r="AD155" s="35">
        <f>HLOOKUP(AD$116,Kostengegevens!$AK$74:$BN$135,Stappen!$AA155,FALSE)</f>
        <v>0</v>
      </c>
      <c r="AE155" s="35">
        <f>HLOOKUP(AE$116,Kostengegevens!$AK$74:$BN$135,Stappen!$AA155,FALSE)</f>
        <v>0</v>
      </c>
      <c r="AF155" s="3"/>
      <c r="AG155" s="35">
        <f>HLOOKUP(AG$116+10,Kostengegevens!$AK$74:$BN$135,Stappen!$AA155,FALSE)</f>
        <v>0</v>
      </c>
      <c r="AH155" s="35">
        <f>HLOOKUP(AH$116+10,Kostengegevens!$AK$74:$BN$135,Stappen!$AA155,FALSE)</f>
        <v>0</v>
      </c>
      <c r="AI155" s="35">
        <f>HLOOKUP(AI$116+10,Kostengegevens!$AK$74:$BN$135,Stappen!$AA155,FALSE)</f>
        <v>0</v>
      </c>
      <c r="AJ155" s="35">
        <f>HLOOKUP(AJ$116+10,Kostengegevens!$AK$74:$BN$135,Stappen!$AA155,FALSE)</f>
        <v>0</v>
      </c>
      <c r="AK155" s="3"/>
      <c r="AL155" s="35">
        <f>HLOOKUP(AL$116+20,Kostengegevens!$AK$74:$BN$135,Stappen!$AA155,FALSE)</f>
        <v>0</v>
      </c>
      <c r="AM155" s="35">
        <f>HLOOKUP(AM$116+20,Kostengegevens!$AK$74:$BN$135,Stappen!$AA155,FALSE)</f>
        <v>0</v>
      </c>
      <c r="AN155" s="35">
        <f>HLOOKUP(AN$116+20,Kostengegevens!$AK$74:$BN$135,Stappen!$AA155,FALSE)</f>
        <v>0</v>
      </c>
      <c r="AO155" s="35">
        <f>HLOOKUP(AO$116+20,Kostengegevens!$AK$74:$BN$135,Stappen!$AA155,FALSE)</f>
        <v>0</v>
      </c>
      <c r="AP155" s="3"/>
      <c r="AQ155" s="35">
        <f>HLOOKUP(AQ$116+30,Kostengegevens!$AK$74:$BN$135,Stappen!$AA155,FALSE)</f>
        <v>0</v>
      </c>
      <c r="AR155" s="35">
        <f>HLOOKUP(AR$116+30,Kostengegevens!$AK$74:$BN$135,Stappen!$AA155,FALSE)</f>
        <v>0</v>
      </c>
      <c r="AS155" s="35">
        <f>HLOOKUP(AS$116+30,Kostengegevens!$AK$74:$BN$135,Stappen!$AA155,FALSE)</f>
        <v>0</v>
      </c>
      <c r="AT155" s="35">
        <f>HLOOKUP(AT$116+30,Kostengegevens!$AK$74:$BN$135,Stappen!$AA155,FALSE)</f>
        <v>0</v>
      </c>
      <c r="AU155" s="3"/>
      <c r="AV155" s="35">
        <f>HLOOKUP(AV$116+40,Kostengegevens!$AK$74:$BN$135,Stappen!$AA155,FALSE)</f>
        <v>0</v>
      </c>
      <c r="AW155" s="35">
        <f>HLOOKUP(AW$116+40,Kostengegevens!$AK$74:$BN$135,Stappen!$AA155,FALSE)</f>
        <v>0</v>
      </c>
      <c r="AX155" s="35">
        <f>HLOOKUP(AX$116+40,Kostengegevens!$AK$74:$BN$135,Stappen!$AA155,FALSE)</f>
        <v>0</v>
      </c>
      <c r="AY155" s="35">
        <f>HLOOKUP(AY$116+40,Kostengegevens!$AK$74:$BN$135,Stappen!$AA155,FALSE)</f>
        <v>0</v>
      </c>
      <c r="AZ155" s="3"/>
      <c r="BA155" s="35">
        <f>HLOOKUP(BA$116+50,Kostengegevens!$AK$74:$BN$135,Stappen!$AA155,FALSE)</f>
        <v>0</v>
      </c>
      <c r="BB155" s="35">
        <f>HLOOKUP(BB$116+50,Kostengegevens!$AK$74:$BN$135,Stappen!$AA155,FALSE)</f>
        <v>0</v>
      </c>
      <c r="BC155" s="35">
        <f>HLOOKUP(BC$116+50,Kostengegevens!$AK$74:$BN$135,Stappen!$AA155,FALSE)</f>
        <v>0</v>
      </c>
      <c r="BD155" s="35">
        <f>HLOOKUP(BD$116+50,Kostengegevens!$AK$74:$BN$135,Stappen!$AA155,FALSE)</f>
        <v>0</v>
      </c>
      <c r="BE155" s="3"/>
      <c r="BH155" s="57">
        <v>40</v>
      </c>
      <c r="BI155" s="56"/>
      <c r="BJ155" s="56"/>
      <c r="BK155" s="62"/>
      <c r="BL155" s="61"/>
      <c r="BM155" s="61"/>
      <c r="BN155" s="61"/>
      <c r="BO155" s="61"/>
      <c r="BP155" s="61"/>
      <c r="BR155" s="56"/>
      <c r="BS155" s="56"/>
      <c r="BT155" s="56"/>
      <c r="BU155" s="56"/>
      <c r="BV155" s="56"/>
    </row>
    <row r="156" spans="1:74" x14ac:dyDescent="0.2">
      <c r="A156" s="113"/>
      <c r="B156" s="114">
        <v>55</v>
      </c>
      <c r="C156" s="236" t="s">
        <v>317</v>
      </c>
      <c r="D156" s="191"/>
      <c r="E156" s="244"/>
      <c r="F156" s="127">
        <f>BI156</f>
        <v>0</v>
      </c>
      <c r="G156" s="127"/>
      <c r="H156" s="133" t="s">
        <v>22</v>
      </c>
      <c r="I156" s="128"/>
      <c r="J156" s="134">
        <f t="shared" ref="J156:J159" si="20">HLOOKUP($Z156,$AB$116:$AF$183,$AA156,FALSE)*$F156</f>
        <v>0</v>
      </c>
      <c r="K156" s="129">
        <f t="shared" si="11"/>
        <v>0</v>
      </c>
      <c r="L156" s="130">
        <f t="shared" si="12"/>
        <v>0</v>
      </c>
      <c r="M156" s="131">
        <f t="shared" si="13"/>
        <v>0</v>
      </c>
      <c r="N156" s="129">
        <f t="shared" si="14"/>
        <v>0</v>
      </c>
      <c r="O156" s="130">
        <f t="shared" si="15"/>
        <v>0</v>
      </c>
      <c r="T156" s="91"/>
      <c r="Z156" s="2">
        <v>2</v>
      </c>
      <c r="AA156" s="35">
        <f t="shared" si="16"/>
        <v>41</v>
      </c>
      <c r="AB156" s="42"/>
      <c r="AC156" s="42">
        <f>AC86</f>
        <v>0</v>
      </c>
      <c r="AD156" s="42"/>
      <c r="AE156" s="42"/>
      <c r="AF156" s="3"/>
      <c r="AG156" s="42"/>
      <c r="AH156" s="42">
        <f>AH86</f>
        <v>0</v>
      </c>
      <c r="AI156" s="42"/>
      <c r="AJ156" s="42"/>
      <c r="AK156" s="3"/>
      <c r="AL156" s="42"/>
      <c r="AM156" s="42">
        <f>AM86</f>
        <v>0</v>
      </c>
      <c r="AN156" s="42"/>
      <c r="AO156" s="42"/>
      <c r="AP156" s="3"/>
      <c r="AQ156" s="42"/>
      <c r="AR156" s="42">
        <f>AR86</f>
        <v>0</v>
      </c>
      <c r="AS156" s="42"/>
      <c r="AT156" s="42"/>
      <c r="AU156" s="3"/>
      <c r="AV156" s="42"/>
      <c r="AW156" s="42">
        <f>AW86</f>
        <v>0</v>
      </c>
      <c r="AX156" s="42"/>
      <c r="AY156" s="42"/>
      <c r="AZ156" s="3"/>
      <c r="BA156" s="42"/>
      <c r="BB156" s="42">
        <f>BB86</f>
        <v>0</v>
      </c>
      <c r="BC156" s="42"/>
      <c r="BD156" s="42"/>
      <c r="BE156" s="3"/>
      <c r="BG156" s="2">
        <v>12</v>
      </c>
      <c r="BH156" s="57">
        <v>41</v>
      </c>
      <c r="BI156" s="56">
        <f>BJ156</f>
        <v>0</v>
      </c>
      <c r="BJ156" s="56">
        <f>HLOOKUP(Stappen!BJ$116,Stappen!$BL$116:$BP$178,BH156,FALSE)*VLOOKUP($BG156,Stappen!$BH$24:$BJ$46,3,FALSE)</f>
        <v>0</v>
      </c>
      <c r="BK156" s="62" t="s">
        <v>22</v>
      </c>
      <c r="BL156" s="61">
        <f>Stappen!BL156</f>
        <v>0</v>
      </c>
      <c r="BM156" s="61">
        <f>Stappen!BM156</f>
        <v>0</v>
      </c>
      <c r="BN156" s="61">
        <f>Stappen!BN156</f>
        <v>1</v>
      </c>
      <c r="BO156" s="61">
        <f>Stappen!BO156</f>
        <v>0</v>
      </c>
      <c r="BP156" s="61">
        <f>Stappen!BP156</f>
        <v>0</v>
      </c>
      <c r="BR156" s="56">
        <f>Stappen!BR156</f>
        <v>5</v>
      </c>
      <c r="BS156" s="56">
        <f>Stappen!BS156</f>
        <v>5</v>
      </c>
      <c r="BT156" s="56">
        <f>Stappen!BT156</f>
        <v>5</v>
      </c>
      <c r="BU156" s="56">
        <f>Stappen!BU156</f>
        <v>5</v>
      </c>
      <c r="BV156" s="56">
        <f>Stappen!BV156</f>
        <v>0</v>
      </c>
    </row>
    <row r="157" spans="1:74" x14ac:dyDescent="0.2">
      <c r="A157" s="113"/>
      <c r="B157" s="114">
        <v>56</v>
      </c>
      <c r="C157" s="236" t="s">
        <v>318</v>
      </c>
      <c r="D157" s="191"/>
      <c r="E157" s="244"/>
      <c r="F157" s="127">
        <f>BI157</f>
        <v>150</v>
      </c>
      <c r="G157" s="127"/>
      <c r="H157" s="133" t="s">
        <v>22</v>
      </c>
      <c r="I157" s="128"/>
      <c r="J157" s="134">
        <f t="shared" si="20"/>
        <v>7542</v>
      </c>
      <c r="K157" s="129">
        <f t="shared" si="11"/>
        <v>975.69609548753476</v>
      </c>
      <c r="L157" s="130">
        <f t="shared" si="12"/>
        <v>2548.2840661499213</v>
      </c>
      <c r="M157" s="131">
        <f t="shared" si="13"/>
        <v>38734.96793526761</v>
      </c>
      <c r="N157" s="129">
        <f t="shared" si="14"/>
        <v>265.99608773776146</v>
      </c>
      <c r="O157" s="130">
        <f t="shared" si="15"/>
        <v>907.82468962701557</v>
      </c>
      <c r="T157" s="91"/>
      <c r="Z157" s="2">
        <v>2</v>
      </c>
      <c r="AA157" s="35">
        <f t="shared" si="16"/>
        <v>42</v>
      </c>
      <c r="AB157" s="42"/>
      <c r="AC157" s="42">
        <f>AC84+AC85</f>
        <v>50.28</v>
      </c>
      <c r="AD157" s="42"/>
      <c r="AE157" s="42"/>
      <c r="AF157" s="3"/>
      <c r="AG157" s="42"/>
      <c r="AH157" s="42">
        <f>AH84+AH85</f>
        <v>6.5046406365835647</v>
      </c>
      <c r="AI157" s="42"/>
      <c r="AJ157" s="42"/>
      <c r="AK157" s="3"/>
      <c r="AL157" s="42"/>
      <c r="AM157" s="42">
        <f>AM84+AM85</f>
        <v>16.988560440999475</v>
      </c>
      <c r="AN157" s="42"/>
      <c r="AO157" s="42"/>
      <c r="AP157" s="3"/>
      <c r="AQ157" s="42"/>
      <c r="AR157" s="42">
        <f>AR84+AR85</f>
        <v>258.23311956845072</v>
      </c>
      <c r="AS157" s="42"/>
      <c r="AT157" s="42"/>
      <c r="AU157" s="3"/>
      <c r="AV157" s="42"/>
      <c r="AW157" s="42">
        <f>AW84+AW85</f>
        <v>1.7733072515850763</v>
      </c>
      <c r="AX157" s="42"/>
      <c r="AY157" s="42"/>
      <c r="AZ157" s="3"/>
      <c r="BA157" s="42"/>
      <c r="BB157" s="42">
        <f>BB84+BB85</f>
        <v>6.0521645975134373</v>
      </c>
      <c r="BC157" s="42"/>
      <c r="BD157" s="42"/>
      <c r="BE157" s="3"/>
      <c r="BG157" s="2">
        <v>12</v>
      </c>
      <c r="BH157" s="57">
        <v>42</v>
      </c>
      <c r="BI157" s="56">
        <f>BJ157</f>
        <v>150</v>
      </c>
      <c r="BJ157" s="56">
        <f>HLOOKUP(Stappen!BJ$116,Stappen!$BL$116:$BP$178,BH157,FALSE)*VLOOKUP($BG157,Stappen!$BH$24:$BJ$46,3,FALSE)</f>
        <v>150</v>
      </c>
      <c r="BK157" s="62" t="s">
        <v>22</v>
      </c>
      <c r="BL157" s="61">
        <f>Stappen!BL157</f>
        <v>1</v>
      </c>
      <c r="BM157" s="61">
        <f>Stappen!BM157</f>
        <v>1</v>
      </c>
      <c r="BN157" s="61">
        <f>Stappen!BN157</f>
        <v>1</v>
      </c>
      <c r="BO157" s="61">
        <f>Stappen!BO157</f>
        <v>1</v>
      </c>
      <c r="BP157" s="61">
        <f>Stappen!BP157</f>
        <v>1</v>
      </c>
      <c r="BR157" s="56">
        <f>Stappen!BR157</f>
        <v>1</v>
      </c>
      <c r="BS157" s="56">
        <f>Stappen!BS157</f>
        <v>1</v>
      </c>
      <c r="BT157" s="56">
        <f>Stappen!BT157</f>
        <v>1</v>
      </c>
      <c r="BU157" s="56">
        <f>Stappen!BU157</f>
        <v>1</v>
      </c>
      <c r="BV157" s="56">
        <f>Stappen!BV157</f>
        <v>0</v>
      </c>
    </row>
    <row r="158" spans="1:74" x14ac:dyDescent="0.2">
      <c r="A158" s="113"/>
      <c r="B158" s="114">
        <v>57</v>
      </c>
      <c r="C158" s="236" t="s">
        <v>319</v>
      </c>
      <c r="D158" s="191"/>
      <c r="E158" s="244"/>
      <c r="F158" s="127">
        <f>BI158</f>
        <v>150</v>
      </c>
      <c r="G158" s="127"/>
      <c r="H158" s="133" t="s">
        <v>22</v>
      </c>
      <c r="I158" s="128"/>
      <c r="J158" s="134">
        <f t="shared" si="20"/>
        <v>1440</v>
      </c>
      <c r="K158" s="129">
        <f t="shared" si="11"/>
        <v>346.66281470456988</v>
      </c>
      <c r="L158" s="130">
        <f t="shared" si="12"/>
        <v>926.04275234683757</v>
      </c>
      <c r="M158" s="131">
        <f t="shared" si="13"/>
        <v>14316.416785393794</v>
      </c>
      <c r="N158" s="129">
        <f t="shared" si="14"/>
        <v>87.66333249660029</v>
      </c>
      <c r="O158" s="130">
        <f t="shared" si="15"/>
        <v>498.22770524544842</v>
      </c>
      <c r="T158" s="91"/>
      <c r="Z158" s="2">
        <v>2</v>
      </c>
      <c r="AA158" s="35">
        <f t="shared" si="16"/>
        <v>43</v>
      </c>
      <c r="AB158" s="42"/>
      <c r="AC158" s="42">
        <f>(AC87)</f>
        <v>9.6</v>
      </c>
      <c r="AD158" s="42"/>
      <c r="AE158" s="42"/>
      <c r="AF158" s="3"/>
      <c r="AG158" s="42"/>
      <c r="AH158" s="42">
        <f>(AH87)</f>
        <v>2.3110854313637992</v>
      </c>
      <c r="AI158" s="42"/>
      <c r="AJ158" s="42"/>
      <c r="AK158" s="3"/>
      <c r="AL158" s="42"/>
      <c r="AM158" s="42">
        <f>(AM87)</f>
        <v>6.1736183489789171</v>
      </c>
      <c r="AN158" s="42"/>
      <c r="AO158" s="42"/>
      <c r="AP158" s="3"/>
      <c r="AQ158" s="42"/>
      <c r="AR158" s="42">
        <f>(AR87)</f>
        <v>95.44277856929196</v>
      </c>
      <c r="AS158" s="42"/>
      <c r="AT158" s="42"/>
      <c r="AU158" s="3"/>
      <c r="AV158" s="42"/>
      <c r="AW158" s="42">
        <f>(AW87)</f>
        <v>0.58442221664400196</v>
      </c>
      <c r="AX158" s="42"/>
      <c r="AY158" s="42"/>
      <c r="AZ158" s="3"/>
      <c r="BA158" s="42"/>
      <c r="BB158" s="42">
        <f>(BB87)</f>
        <v>3.3215180349696563</v>
      </c>
      <c r="BC158" s="42"/>
      <c r="BD158" s="42"/>
      <c r="BE158" s="3"/>
      <c r="BG158" s="2">
        <v>12</v>
      </c>
      <c r="BH158" s="57">
        <v>43</v>
      </c>
      <c r="BI158" s="56">
        <f>BJ158</f>
        <v>150</v>
      </c>
      <c r="BJ158" s="56">
        <f>HLOOKUP(Stappen!BJ$116,Stappen!$BL$116:$BP$178,BH158,FALSE)*VLOOKUP($BG158,Stappen!$BH$24:$BJ$46,3,FALSE)</f>
        <v>150</v>
      </c>
      <c r="BK158" s="62" t="s">
        <v>22</v>
      </c>
      <c r="BL158" s="61">
        <f>Stappen!BL158</f>
        <v>1</v>
      </c>
      <c r="BM158" s="61">
        <f>Stappen!BM158</f>
        <v>1</v>
      </c>
      <c r="BN158" s="61">
        <f>Stappen!BN158</f>
        <v>1</v>
      </c>
      <c r="BO158" s="61">
        <f>Stappen!BO158</f>
        <v>1</v>
      </c>
      <c r="BP158" s="61">
        <f>Stappen!BP158</f>
        <v>1</v>
      </c>
      <c r="BR158" s="56">
        <f>Stappen!BR158</f>
        <v>1</v>
      </c>
      <c r="BS158" s="56">
        <f>Stappen!BS158</f>
        <v>1</v>
      </c>
      <c r="BT158" s="56">
        <f>Stappen!BT158</f>
        <v>1</v>
      </c>
      <c r="BU158" s="56">
        <f>Stappen!BU158</f>
        <v>1</v>
      </c>
      <c r="BV158" s="56">
        <f>Stappen!BV158</f>
        <v>0</v>
      </c>
    </row>
    <row r="159" spans="1:74" x14ac:dyDescent="0.2">
      <c r="A159" s="113"/>
      <c r="B159" s="114">
        <v>58</v>
      </c>
      <c r="C159" s="236" t="s">
        <v>320</v>
      </c>
      <c r="D159" s="191"/>
      <c r="E159" s="244"/>
      <c r="F159" s="127">
        <f>BI159</f>
        <v>0</v>
      </c>
      <c r="G159" s="127"/>
      <c r="H159" s="133" t="s">
        <v>22</v>
      </c>
      <c r="I159" s="128"/>
      <c r="J159" s="134">
        <f t="shared" si="20"/>
        <v>0</v>
      </c>
      <c r="K159" s="129">
        <f t="shared" si="11"/>
        <v>0</v>
      </c>
      <c r="L159" s="130">
        <f t="shared" si="12"/>
        <v>0</v>
      </c>
      <c r="M159" s="131">
        <f t="shared" si="13"/>
        <v>0</v>
      </c>
      <c r="N159" s="129">
        <f t="shared" si="14"/>
        <v>0</v>
      </c>
      <c r="O159" s="130">
        <f t="shared" si="15"/>
        <v>0</v>
      </c>
      <c r="T159" s="91"/>
      <c r="Z159" s="2">
        <v>2</v>
      </c>
      <c r="AA159" s="35">
        <f t="shared" si="16"/>
        <v>44</v>
      </c>
      <c r="AB159" s="42"/>
      <c r="AC159" s="42">
        <f>Kostengegevens!C57</f>
        <v>0</v>
      </c>
      <c r="AD159" s="42"/>
      <c r="AE159" s="42"/>
      <c r="AF159" s="3"/>
      <c r="AG159" s="42"/>
      <c r="AH159" s="42">
        <f>Kostengegevens!H57</f>
        <v>0</v>
      </c>
      <c r="AI159" s="42"/>
      <c r="AJ159" s="42"/>
      <c r="AK159" s="3"/>
      <c r="AL159" s="42"/>
      <c r="AM159" s="42">
        <f>Kostengegevens!M57</f>
        <v>0</v>
      </c>
      <c r="AN159" s="42"/>
      <c r="AO159" s="42"/>
      <c r="AP159" s="3"/>
      <c r="AQ159" s="42"/>
      <c r="AR159" s="42">
        <f>Kostengegevens!R57</f>
        <v>0</v>
      </c>
      <c r="AS159" s="42"/>
      <c r="AT159" s="42"/>
      <c r="AU159" s="3"/>
      <c r="AV159" s="42"/>
      <c r="AW159" s="42">
        <f>Kostengegevens!W57</f>
        <v>0</v>
      </c>
      <c r="AX159" s="42"/>
      <c r="AY159" s="42"/>
      <c r="AZ159" s="3"/>
      <c r="BA159" s="42"/>
      <c r="BB159" s="42">
        <f>Kostengegevens!AB57</f>
        <v>0</v>
      </c>
      <c r="BC159" s="42"/>
      <c r="BD159" s="42"/>
      <c r="BE159" s="3"/>
      <c r="BG159" s="2">
        <v>12</v>
      </c>
      <c r="BH159" s="57">
        <v>44</v>
      </c>
      <c r="BI159" s="56">
        <f>BJ159</f>
        <v>0</v>
      </c>
      <c r="BJ159" s="56">
        <f>HLOOKUP(Stappen!BJ$116,Stappen!$BL$116:$BP$178,BH159,FALSE)*VLOOKUP($BG159,Stappen!$BH$24:$BJ$46,3,FALSE)</f>
        <v>0</v>
      </c>
      <c r="BK159" s="62" t="s">
        <v>22</v>
      </c>
      <c r="BL159" s="61">
        <f>Stappen!BL159</f>
        <v>0</v>
      </c>
      <c r="BM159" s="61">
        <f>Stappen!BM159</f>
        <v>0</v>
      </c>
      <c r="BN159" s="61">
        <f>Stappen!BN159</f>
        <v>1</v>
      </c>
      <c r="BO159" s="61">
        <f>Stappen!BO159</f>
        <v>1</v>
      </c>
      <c r="BP159" s="61">
        <f>Stappen!BP159</f>
        <v>0</v>
      </c>
      <c r="BR159" s="56">
        <f>Stappen!BR159</f>
        <v>5</v>
      </c>
      <c r="BS159" s="56">
        <f>Stappen!BS159</f>
        <v>5</v>
      </c>
      <c r="BT159" s="56">
        <f>Stappen!BT159</f>
        <v>5</v>
      </c>
      <c r="BU159" s="56">
        <f>Stappen!BU159</f>
        <v>5</v>
      </c>
      <c r="BV159" s="56">
        <f>Stappen!BV159</f>
        <v>0</v>
      </c>
    </row>
    <row r="160" spans="1:74" x14ac:dyDescent="0.2">
      <c r="A160" s="120" t="s">
        <v>173</v>
      </c>
      <c r="B160" s="114"/>
      <c r="C160" s="235" t="s">
        <v>11</v>
      </c>
      <c r="D160" s="191"/>
      <c r="E160" s="133"/>
      <c r="F160" s="133"/>
      <c r="G160" s="133"/>
      <c r="H160" s="133"/>
      <c r="I160" s="128"/>
      <c r="J160" s="134"/>
      <c r="K160" s="129"/>
      <c r="L160" s="130"/>
      <c r="M160" s="131"/>
      <c r="N160" s="129"/>
      <c r="O160" s="130"/>
      <c r="P160" s="84"/>
      <c r="T160" s="91"/>
      <c r="U160" s="263"/>
      <c r="V160" s="263"/>
      <c r="W160" s="263"/>
      <c r="X160" s="263"/>
      <c r="Y160" s="263"/>
      <c r="AA160" s="35">
        <f t="shared" si="16"/>
        <v>45</v>
      </c>
      <c r="AB160" s="35">
        <f>HLOOKUP(AB$116,Kostengegevens!$AK$74:$BN$135,Stappen!$AA160,FALSE)</f>
        <v>0</v>
      </c>
      <c r="AC160" s="35">
        <f>HLOOKUP(AC$116,Kostengegevens!$AK$74:$BN$135,Stappen!$AA160,FALSE)</f>
        <v>0</v>
      </c>
      <c r="AD160" s="35">
        <f>HLOOKUP(AD$116,Kostengegevens!$AK$74:$BN$135,Stappen!$AA160,FALSE)</f>
        <v>0</v>
      </c>
      <c r="AE160" s="35">
        <f>HLOOKUP(AE$116,Kostengegevens!$AK$74:$BN$135,Stappen!$AA160,FALSE)</f>
        <v>0</v>
      </c>
      <c r="AF160" s="3"/>
      <c r="AG160" s="35">
        <f>HLOOKUP(AG$116+10,Kostengegevens!$AK$74:$BN$135,Stappen!$AA160,FALSE)</f>
        <v>0</v>
      </c>
      <c r="AH160" s="35">
        <f>HLOOKUP(AH$116+10,Kostengegevens!$AK$74:$BN$135,Stappen!$AA160,FALSE)</f>
        <v>0</v>
      </c>
      <c r="AI160" s="35">
        <f>HLOOKUP(AI$116+10,Kostengegevens!$AK$74:$BN$135,Stappen!$AA160,FALSE)</f>
        <v>0</v>
      </c>
      <c r="AJ160" s="35">
        <f>HLOOKUP(AJ$116+10,Kostengegevens!$AK$74:$BN$135,Stappen!$AA160,FALSE)</f>
        <v>0</v>
      </c>
      <c r="AK160" s="3"/>
      <c r="AL160" s="35">
        <f>HLOOKUP(AL$116+20,Kostengegevens!$AK$74:$BN$135,Stappen!$AA160,FALSE)</f>
        <v>0</v>
      </c>
      <c r="AM160" s="35">
        <f>HLOOKUP(AM$116+20,Kostengegevens!$AK$74:$BN$135,Stappen!$AA160,FALSE)</f>
        <v>0</v>
      </c>
      <c r="AN160" s="35">
        <f>HLOOKUP(AN$116+20,Kostengegevens!$AK$74:$BN$135,Stappen!$AA160,FALSE)</f>
        <v>0</v>
      </c>
      <c r="AO160" s="35">
        <f>HLOOKUP(AO$116+20,Kostengegevens!$AK$74:$BN$135,Stappen!$AA160,FALSE)</f>
        <v>0</v>
      </c>
      <c r="AP160" s="3"/>
      <c r="AQ160" s="35">
        <f>HLOOKUP(AQ$116+30,Kostengegevens!$AK$74:$BN$135,Stappen!$AA160,FALSE)</f>
        <v>0</v>
      </c>
      <c r="AR160" s="35">
        <f>HLOOKUP(AR$116+30,Kostengegevens!$AK$74:$BN$135,Stappen!$AA160,FALSE)</f>
        <v>0</v>
      </c>
      <c r="AS160" s="35">
        <f>HLOOKUP(AS$116+30,Kostengegevens!$AK$74:$BN$135,Stappen!$AA160,FALSE)</f>
        <v>0</v>
      </c>
      <c r="AT160" s="35">
        <f>HLOOKUP(AT$116+30,Kostengegevens!$AK$74:$BN$135,Stappen!$AA160,FALSE)</f>
        <v>0</v>
      </c>
      <c r="AU160" s="3"/>
      <c r="AV160" s="35">
        <f>HLOOKUP(AV$116+40,Kostengegevens!$AK$74:$BN$135,Stappen!$AA160,FALSE)</f>
        <v>0</v>
      </c>
      <c r="AW160" s="35">
        <f>HLOOKUP(AW$116+40,Kostengegevens!$AK$74:$BN$135,Stappen!$AA160,FALSE)</f>
        <v>0</v>
      </c>
      <c r="AX160" s="35">
        <f>HLOOKUP(AX$116+40,Kostengegevens!$AK$74:$BN$135,Stappen!$AA160,FALSE)</f>
        <v>0</v>
      </c>
      <c r="AY160" s="35">
        <f>HLOOKUP(AY$116+40,Kostengegevens!$AK$74:$BN$135,Stappen!$AA160,FALSE)</f>
        <v>0</v>
      </c>
      <c r="AZ160" s="3"/>
      <c r="BA160" s="35">
        <f>HLOOKUP(BA$116+50,Kostengegevens!$AK$74:$BN$135,Stappen!$AA160,FALSE)</f>
        <v>0</v>
      </c>
      <c r="BB160" s="35">
        <f>HLOOKUP(BB$116+50,Kostengegevens!$AK$74:$BN$135,Stappen!$AA160,FALSE)</f>
        <v>0</v>
      </c>
      <c r="BC160" s="35">
        <f>HLOOKUP(BC$116+50,Kostengegevens!$AK$74:$BN$135,Stappen!$AA160,FALSE)</f>
        <v>0</v>
      </c>
      <c r="BD160" s="35">
        <f>HLOOKUP(BD$116+50,Kostengegevens!$AK$74:$BN$135,Stappen!$AA160,FALSE)</f>
        <v>0</v>
      </c>
      <c r="BE160" s="3"/>
      <c r="BH160" s="57">
        <v>45</v>
      </c>
      <c r="BI160" s="56"/>
      <c r="BJ160" s="56"/>
      <c r="BK160" s="62"/>
      <c r="BL160" s="61"/>
      <c r="BM160" s="61"/>
      <c r="BN160" s="61"/>
      <c r="BO160" s="61"/>
      <c r="BP160" s="61"/>
      <c r="BR160" s="56"/>
      <c r="BS160" s="56"/>
      <c r="BT160" s="56"/>
      <c r="BU160" s="56"/>
      <c r="BV160" s="56"/>
    </row>
    <row r="161" spans="1:74" x14ac:dyDescent="0.2">
      <c r="A161" s="113"/>
      <c r="B161" s="114">
        <v>61</v>
      </c>
      <c r="C161" s="236" t="s">
        <v>321</v>
      </c>
      <c r="D161" s="191"/>
      <c r="E161" s="244"/>
      <c r="F161" s="127">
        <f t="shared" ref="F161:F166" si="21">BI161</f>
        <v>150</v>
      </c>
      <c r="G161" s="127"/>
      <c r="H161" s="133" t="s">
        <v>22</v>
      </c>
      <c r="I161" s="128"/>
      <c r="J161" s="134">
        <f t="shared" ref="J161:J166" si="22">HLOOKUP($Z161,$AB$116:$AF$183,$AA161,FALSE)*$F161</f>
        <v>300.15450000134933</v>
      </c>
      <c r="K161" s="129">
        <f t="shared" si="11"/>
        <v>51.00524999999152</v>
      </c>
      <c r="L161" s="130">
        <f t="shared" si="12"/>
        <v>172.51875000090422</v>
      </c>
      <c r="M161" s="131">
        <f t="shared" si="13"/>
        <v>2875.9747499978403</v>
      </c>
      <c r="N161" s="129">
        <f t="shared" si="14"/>
        <v>18.256500000069309</v>
      </c>
      <c r="O161" s="130">
        <f t="shared" si="15"/>
        <v>23.166000000071563</v>
      </c>
      <c r="T161" s="91" t="str">
        <f t="shared" ref="T161:T166" si="23">HLOOKUP(Z161,$U$116:$Y$183,AA161,FALSE)</f>
        <v>1 woningbouw (veiligheidsaarding)</v>
      </c>
      <c r="U161" s="263" t="s">
        <v>139</v>
      </c>
      <c r="V161" s="263" t="s">
        <v>118</v>
      </c>
      <c r="W161" s="263" t="s">
        <v>119</v>
      </c>
      <c r="X161" s="263" t="s">
        <v>120</v>
      </c>
      <c r="Y161" s="263" t="s">
        <v>62</v>
      </c>
      <c r="Z161" s="2">
        <f t="shared" ref="Z161:Z166" si="24">HLOOKUP(Z$116,$BR$116:$BV$183,BH161,FALSE)</f>
        <v>1</v>
      </c>
      <c r="AA161" s="35">
        <f t="shared" si="16"/>
        <v>46</v>
      </c>
      <c r="AB161" s="35">
        <f>HLOOKUP(AB$116,Kostengegevens!$AK$74:$BN$135,Stappen!$AA161,FALSE)</f>
        <v>2.0010300000089956</v>
      </c>
      <c r="AC161" s="35">
        <f>HLOOKUP(AC$116,Kostengegevens!$AK$74:$BN$135,Stappen!$AA161,FALSE)</f>
        <v>11.44936750000943</v>
      </c>
      <c r="AD161" s="35">
        <f>HLOOKUP(AD$116,Kostengegevens!$AK$74:$BN$135,Stappen!$AA161,FALSE)</f>
        <v>11.449367500010339</v>
      </c>
      <c r="AE161" s="35">
        <f>HLOOKUP(AE$116,Kostengegevens!$AK$74:$BN$135,Stappen!$AA161,FALSE)</f>
        <v>11.44936750000943</v>
      </c>
      <c r="AF161" s="3"/>
      <c r="AG161" s="35">
        <f>HLOOKUP(AG$116+10,Kostengegevens!$AK$74:$BN$135,Stappen!$AA161,FALSE)</f>
        <v>0.34003499999994347</v>
      </c>
      <c r="AH161" s="35">
        <f>HLOOKUP(AH$116+10,Kostengegevens!$AK$74:$BN$135,Stappen!$AA161,FALSE)</f>
        <v>2.1576006249998727</v>
      </c>
      <c r="AI161" s="35">
        <f>HLOOKUP(AI$116+10,Kostengegevens!$AK$74:$BN$135,Stappen!$AA161,FALSE)</f>
        <v>2.1576006249998727</v>
      </c>
      <c r="AJ161" s="35">
        <f>HLOOKUP(AJ$116+10,Kostengegevens!$AK$74:$BN$135,Stappen!$AA161,FALSE)</f>
        <v>2.1576006249998727</v>
      </c>
      <c r="AK161" s="3"/>
      <c r="AL161" s="35">
        <f>HLOOKUP(AL$116+20,Kostengegevens!$AK$74:$BN$135,Stappen!$AA161,FALSE)</f>
        <v>1.1501250000060281</v>
      </c>
      <c r="AM161" s="35">
        <f>HLOOKUP(AM$116+20,Kostengegevens!$AK$74:$BN$135,Stappen!$AA161,FALSE)</f>
        <v>5.4284156250062097</v>
      </c>
      <c r="AN161" s="35">
        <f>HLOOKUP(AN$116+20,Kostengegevens!$AK$74:$BN$135,Stappen!$AA161,FALSE)</f>
        <v>5.428415625006437</v>
      </c>
      <c r="AO161" s="35">
        <f>HLOOKUP(AO$116+20,Kostengegevens!$AK$74:$BN$135,Stappen!$AA161,FALSE)</f>
        <v>5.428415625006437</v>
      </c>
      <c r="AP161" s="3"/>
      <c r="AQ161" s="35">
        <f>HLOOKUP(AQ$116+30,Kostengegevens!$AK$74:$BN$135,Stappen!$AA161,FALSE)</f>
        <v>19.173164999985602</v>
      </c>
      <c r="AR161" s="35">
        <f>HLOOKUP(AR$116+30,Kostengegevens!$AK$74:$BN$135,Stappen!$AA161,FALSE)</f>
        <v>89.953993124989211</v>
      </c>
      <c r="AS161" s="35">
        <f>HLOOKUP(AS$116+30,Kostengegevens!$AK$74:$BN$135,Stappen!$AA161,FALSE)</f>
        <v>89.953993124989211</v>
      </c>
      <c r="AT161" s="35">
        <f>HLOOKUP(AT$116+30,Kostengegevens!$AK$74:$BN$135,Stappen!$AA161,FALSE)</f>
        <v>89.953993124989211</v>
      </c>
      <c r="AU161" s="3"/>
      <c r="AV161" s="35">
        <f>HLOOKUP(AV$116+40,Kostengegevens!$AK$74:$BN$135,Stappen!$AA161,FALSE)</f>
        <v>0.12171000000046206</v>
      </c>
      <c r="AW161" s="35">
        <f>HLOOKUP(AW$116+40,Kostengegevens!$AK$74:$BN$135,Stappen!$AA161,FALSE)</f>
        <v>0.57466937500055337</v>
      </c>
      <c r="AX161" s="35">
        <f>HLOOKUP(AX$116+40,Kostengegevens!$AK$74:$BN$135,Stappen!$AA161,FALSE)</f>
        <v>0.57466937500055337</v>
      </c>
      <c r="AY161" s="35">
        <f>HLOOKUP(AY$116+40,Kostengegevens!$AK$74:$BN$135,Stappen!$AA161,FALSE)</f>
        <v>0.57466937500055337</v>
      </c>
      <c r="AZ161" s="3"/>
      <c r="BA161" s="35">
        <f>HLOOKUP(BA$116+50,Kostengegevens!$AK$74:$BN$135,Stappen!$AA161,FALSE)</f>
        <v>0.15444000000047708</v>
      </c>
      <c r="BB161" s="35">
        <f>HLOOKUP(BB$116+50,Kostengegevens!$AK$74:$BN$135,Stappen!$AA161,FALSE)</f>
        <v>0.28309859375036694</v>
      </c>
      <c r="BC161" s="35">
        <f>HLOOKUP(BC$116+50,Kostengegevens!$AK$74:$BN$135,Stappen!$AA161,FALSE)</f>
        <v>0.28309859375036694</v>
      </c>
      <c r="BD161" s="35">
        <f>HLOOKUP(BD$116+50,Kostengegevens!$AK$74:$BN$135,Stappen!$AA161,FALSE)</f>
        <v>0.28309859375036694</v>
      </c>
      <c r="BE161" s="3"/>
      <c r="BG161" s="2">
        <v>13</v>
      </c>
      <c r="BH161" s="57">
        <v>46</v>
      </c>
      <c r="BI161" s="56">
        <f t="shared" ref="BI161:BI166" si="25">BJ161</f>
        <v>150</v>
      </c>
      <c r="BJ161" s="56">
        <f>HLOOKUP(Stappen!BJ$116,Stappen!$BL$116:$BP$178,BH161,FALSE)*VLOOKUP($BG161,Stappen!$BH$24:$BJ$46,3,FALSE)</f>
        <v>150</v>
      </c>
      <c r="BK161" s="62" t="s">
        <v>22</v>
      </c>
      <c r="BL161" s="61">
        <f>Stappen!BL161</f>
        <v>0</v>
      </c>
      <c r="BM161" s="61">
        <f>Stappen!BM161</f>
        <v>1</v>
      </c>
      <c r="BN161" s="61">
        <f>Stappen!BN161</f>
        <v>1</v>
      </c>
      <c r="BO161" s="61">
        <f>Stappen!BO161</f>
        <v>1</v>
      </c>
      <c r="BP161" s="61">
        <f>Stappen!BP161</f>
        <v>0</v>
      </c>
      <c r="BR161" s="56">
        <f>Stappen!BR161</f>
        <v>1</v>
      </c>
      <c r="BS161" s="56">
        <f>Stappen!BS161</f>
        <v>1</v>
      </c>
      <c r="BT161" s="56">
        <f>Stappen!BT161</f>
        <v>2</v>
      </c>
      <c r="BU161" s="56">
        <f>Stappen!BU161</f>
        <v>2</v>
      </c>
      <c r="BV161" s="56">
        <f>Stappen!BV161</f>
        <v>0</v>
      </c>
    </row>
    <row r="162" spans="1:74" x14ac:dyDescent="0.2">
      <c r="A162" s="113"/>
      <c r="B162" s="114">
        <v>62</v>
      </c>
      <c r="C162" s="236" t="s">
        <v>322</v>
      </c>
      <c r="D162" s="191"/>
      <c r="E162" s="244"/>
      <c r="F162" s="127">
        <f t="shared" si="21"/>
        <v>0</v>
      </c>
      <c r="G162" s="127"/>
      <c r="H162" s="133" t="s">
        <v>22</v>
      </c>
      <c r="I162" s="128"/>
      <c r="J162" s="134">
        <f t="shared" si="22"/>
        <v>0</v>
      </c>
      <c r="K162" s="129">
        <f t="shared" si="11"/>
        <v>0</v>
      </c>
      <c r="L162" s="130">
        <f t="shared" si="12"/>
        <v>0</v>
      </c>
      <c r="M162" s="131">
        <f t="shared" si="13"/>
        <v>0</v>
      </c>
      <c r="N162" s="129">
        <f t="shared" si="14"/>
        <v>0</v>
      </c>
      <c r="O162" s="130">
        <f t="shared" si="15"/>
        <v>0</v>
      </c>
      <c r="T162" s="91" t="str">
        <f t="shared" si="23"/>
        <v>5 n.v.t.</v>
      </c>
      <c r="U162" s="263" t="s">
        <v>122</v>
      </c>
      <c r="V162" s="263" t="s">
        <v>123</v>
      </c>
      <c r="W162" s="263" t="s">
        <v>124</v>
      </c>
      <c r="X162" s="263" t="s">
        <v>120</v>
      </c>
      <c r="Y162" s="263" t="s">
        <v>62</v>
      </c>
      <c r="Z162" s="2">
        <f t="shared" si="24"/>
        <v>5</v>
      </c>
      <c r="AA162" s="35">
        <f t="shared" si="16"/>
        <v>47</v>
      </c>
      <c r="AB162" s="333" t="e">
        <f>HLOOKUP(AB$116,Kostengegevens!$AK$74:$BN$135,Stappen!$AA162,FALSE)*F168/F162</f>
        <v>#DIV/0!</v>
      </c>
      <c r="AC162" s="333" t="e">
        <f>HLOOKUP(AC$116,Kostengegevens!$AK$74:$BN$135,Stappen!$AA162,FALSE)*F168/F162</f>
        <v>#DIV/0!</v>
      </c>
      <c r="AD162" s="333" t="e">
        <f>HLOOKUP(AD$116,Kostengegevens!$AK$74:$BN$135,Stappen!$AA162,FALSE)*F168/F162</f>
        <v>#DIV/0!</v>
      </c>
      <c r="AE162" s="35">
        <f>HLOOKUP(AE$116,Kostengegevens!$AK$74:$BN$135,Stappen!$AA162,FALSE)</f>
        <v>8.8634000000001834</v>
      </c>
      <c r="AF162" s="3"/>
      <c r="AG162" s="333" t="e">
        <f>HLOOKUP(AG$116+10,Kostengegevens!$AK$74:$BN$135,Stappen!$AA162,FALSE)*F168/F162</f>
        <v>#DIV/0!</v>
      </c>
      <c r="AH162" s="333" t="e">
        <f>HLOOKUP(AH$116+10,Kostengegevens!$AK$74:$BN$135,Stappen!$AA162,FALSE)*F168/F162</f>
        <v>#DIV/0!</v>
      </c>
      <c r="AI162" s="333" t="e">
        <f>HLOOKUP(AI$116+10,Kostengegevens!$AK$74:$BN$135,Stappen!$AA162,FALSE)*F168/F162</f>
        <v>#DIV/0!</v>
      </c>
      <c r="AJ162" s="35">
        <f>HLOOKUP(AJ$116+10,Kostengegevens!$AK$74:$BN$135,Stappen!$AA162,FALSE)</f>
        <v>1.2909750000006852</v>
      </c>
      <c r="AK162" s="3"/>
      <c r="AL162" s="333" t="e">
        <f>HLOOKUP(AL$116+20,Kostengegevens!$AK$74:$BN$135,Stappen!$AA162,FALSE)*F168/F162</f>
        <v>#DIV/0!</v>
      </c>
      <c r="AM162" s="333" t="e">
        <f>HLOOKUP(AM$116+20,Kostengegevens!$AK$74:$BN$135,Stappen!$AA162,FALSE)*F168/F162</f>
        <v>#DIV/0!</v>
      </c>
      <c r="AN162" s="333" t="e">
        <f>HLOOKUP(AN$116+20,Kostengegevens!$AK$74:$BN$135,Stappen!$AA162,FALSE)*F168/F162</f>
        <v>#DIV/0!</v>
      </c>
      <c r="AO162" s="35">
        <f>HLOOKUP(AO$116+20,Kostengegevens!$AK$74:$BN$135,Stappen!$AA162,FALSE)</f>
        <v>1.0489249999986896</v>
      </c>
      <c r="AP162" s="3"/>
      <c r="AQ162" s="333" t="e">
        <f>HLOOKUP(AQ$116+30,Kostengegevens!$AK$74:$BN$135,Stappen!$AA162,FALSE)*F168/F162</f>
        <v>#DIV/0!</v>
      </c>
      <c r="AR162" s="333" t="e">
        <f>HLOOKUP(AR$116+30,Kostengegevens!$AK$74:$BN$135,Stappen!$AA162,FALSE)*F168/F162</f>
        <v>#DIV/0!</v>
      </c>
      <c r="AS162" s="333" t="e">
        <f>HLOOKUP(AS$116+30,Kostengegevens!$AK$74:$BN$135,Stappen!$AA162,FALSE)*F168/F162</f>
        <v>#DIV/0!</v>
      </c>
      <c r="AT162" s="35">
        <f>HLOOKUP(AT$116+30,Kostengegevens!$AK$74:$BN$135,Stappen!$AA162,FALSE)</f>
        <v>19.355175000026065</v>
      </c>
      <c r="AU162" s="3"/>
      <c r="AV162" s="333" t="e">
        <f>HLOOKUP(AV$116+40,Kostengegevens!$AK$74:$BN$135,Stappen!$AA162,FALSE)*F168/F162</f>
        <v>#DIV/0!</v>
      </c>
      <c r="AW162" s="333" t="e">
        <f>HLOOKUP(AW$116+40,Kostengegevens!$AK$74:$BN$135,Stappen!$AA162,FALSE)*F168/F162</f>
        <v>#DIV/0!</v>
      </c>
      <c r="AX162" s="333" t="e">
        <f>HLOOKUP(AX$116+40,Kostengegevens!$AK$74:$BN$135,Stappen!$AA162,FALSE)*F168/F162</f>
        <v>#DIV/0!</v>
      </c>
      <c r="AY162" s="35">
        <f>HLOOKUP(AY$116+40,Kostengegevens!$AK$74:$BN$135,Stappen!$AA162,FALSE)</f>
        <v>0.15104999999994106</v>
      </c>
      <c r="AZ162" s="3"/>
      <c r="BA162" s="333" t="e">
        <f>HLOOKUP(BA$116+50,Kostengegevens!$AK$74:$BN$135,Stappen!$AA162,FALSE)*F168/F162</f>
        <v>#DIV/0!</v>
      </c>
      <c r="BB162" s="333" t="e">
        <f>HLOOKUP(BB$116+50,Kostengegevens!$AK$74:$BN$135,Stappen!$AA162,FALSE)*F168/F162</f>
        <v>#DIV/0!</v>
      </c>
      <c r="BC162" s="333" t="e">
        <f>HLOOKUP(BC$116+50,Kostengegevens!$AK$74:$BN$135,Stappen!$AA162,FALSE)*F168/F162</f>
        <v>#DIV/0!</v>
      </c>
      <c r="BD162" s="35">
        <f>HLOOKUP(BD$116+50,Kostengegevens!$AK$74:$BN$135,Stappen!$AA162,FALSE)</f>
        <v>3.1675000000007003E-2</v>
      </c>
      <c r="BE162" s="3"/>
      <c r="BG162" s="2">
        <v>13</v>
      </c>
      <c r="BH162" s="57">
        <v>47</v>
      </c>
      <c r="BI162" s="56">
        <f t="shared" si="25"/>
        <v>0</v>
      </c>
      <c r="BJ162" s="56">
        <f>HLOOKUP(Stappen!BJ$116,Stappen!$BL$116:$BP$178,BH162,FALSE)*VLOOKUP($BG162,Stappen!$BH$24:$BJ$46,3,FALSE)</f>
        <v>0</v>
      </c>
      <c r="BK162" s="62" t="s">
        <v>22</v>
      </c>
      <c r="BL162" s="61">
        <f>Stappen!BL162</f>
        <v>0</v>
      </c>
      <c r="BM162" s="61">
        <f>Stappen!BM162</f>
        <v>0</v>
      </c>
      <c r="BN162" s="61">
        <f>Stappen!BN162</f>
        <v>1</v>
      </c>
      <c r="BO162" s="61">
        <f>Stappen!BO162</f>
        <v>1</v>
      </c>
      <c r="BP162" s="61">
        <f>Stappen!BP162</f>
        <v>0</v>
      </c>
      <c r="BR162" s="56">
        <f>Stappen!BR162</f>
        <v>5</v>
      </c>
      <c r="BS162" s="56">
        <f>Stappen!BS162</f>
        <v>5</v>
      </c>
      <c r="BT162" s="56">
        <f>Stappen!BT162</f>
        <v>2</v>
      </c>
      <c r="BU162" s="56">
        <f>Stappen!BU162</f>
        <v>2</v>
      </c>
      <c r="BV162" s="56">
        <f>Stappen!BV162</f>
        <v>0</v>
      </c>
    </row>
    <row r="163" spans="1:74" x14ac:dyDescent="0.2">
      <c r="A163" s="113"/>
      <c r="B163" s="114">
        <v>63</v>
      </c>
      <c r="C163" s="236" t="s">
        <v>323</v>
      </c>
      <c r="D163" s="191"/>
      <c r="E163" s="244"/>
      <c r="F163" s="127">
        <f t="shared" si="21"/>
        <v>150</v>
      </c>
      <c r="G163" s="127"/>
      <c r="H163" s="133" t="s">
        <v>22</v>
      </c>
      <c r="I163" s="128"/>
      <c r="J163" s="134">
        <f t="shared" si="22"/>
        <v>4659.1393800001242</v>
      </c>
      <c r="K163" s="129">
        <f t="shared" si="11"/>
        <v>690.84277499974291</v>
      </c>
      <c r="L163" s="130">
        <f t="shared" si="12"/>
        <v>1521.1009800000738</v>
      </c>
      <c r="M163" s="131">
        <f t="shared" si="13"/>
        <v>24433.618575000764</v>
      </c>
      <c r="N163" s="129">
        <f t="shared" si="14"/>
        <v>207.19885499995598</v>
      </c>
      <c r="O163" s="130">
        <f t="shared" si="15"/>
        <v>1309.9724789996628</v>
      </c>
      <c r="T163" s="91" t="str">
        <f t="shared" si="23"/>
        <v>1 woningbouw</v>
      </c>
      <c r="U163" s="263" t="s">
        <v>68</v>
      </c>
      <c r="V163" s="263" t="s">
        <v>125</v>
      </c>
      <c r="W163" s="263" t="s">
        <v>126</v>
      </c>
      <c r="X163" s="263" t="s">
        <v>127</v>
      </c>
      <c r="Y163" s="263" t="s">
        <v>62</v>
      </c>
      <c r="Z163" s="2">
        <f t="shared" si="24"/>
        <v>1</v>
      </c>
      <c r="AA163" s="35">
        <f t="shared" si="16"/>
        <v>48</v>
      </c>
      <c r="AB163" s="35">
        <f>HLOOKUP(AB$116,Kostengegevens!$AK$74:$BN$135,Stappen!$AA163,FALSE)</f>
        <v>31.060929200000828</v>
      </c>
      <c r="AC163" s="35">
        <f>HLOOKUP(AC$116,Kostengegevens!$AK$74:$BN$135,Stappen!$AA163,FALSE)</f>
        <v>49.700597000001835</v>
      </c>
      <c r="AD163" s="35">
        <f>HLOOKUP(AD$116,Kostengegevens!$AK$74:$BN$135,Stappen!$AA163,FALSE)</f>
        <v>61.722083000005114</v>
      </c>
      <c r="AE163" s="35">
        <f>HLOOKUP(AE$116,Kostengegevens!$AK$74:$BN$135,Stappen!$AA163,FALSE)</f>
        <v>61.722083000005114</v>
      </c>
      <c r="AF163" s="3"/>
      <c r="AG163" s="35">
        <f>HLOOKUP(AG$116+10,Kostengegevens!$AK$74:$BN$135,Stappen!$AA163,FALSE)</f>
        <v>4.6056184999982861</v>
      </c>
      <c r="AH163" s="35">
        <f>HLOOKUP(AH$116+10,Kostengegevens!$AK$74:$BN$135,Stappen!$AA163,FALSE)</f>
        <v>14.010578000001146</v>
      </c>
      <c r="AI163" s="35">
        <f>HLOOKUP(AI$116+10,Kostengegevens!$AK$74:$BN$135,Stappen!$AA163,FALSE)</f>
        <v>19.230662000001644</v>
      </c>
      <c r="AJ163" s="35">
        <f>HLOOKUP(AJ$116+10,Kostengegevens!$AK$74:$BN$135,Stappen!$AA163,FALSE)</f>
        <v>19.230662000001644</v>
      </c>
      <c r="AK163" s="3"/>
      <c r="AL163" s="35">
        <f>HLOOKUP(AL$116+20,Kostengegevens!$AK$74:$BN$135,Stappen!$AA163,FALSE)</f>
        <v>10.140673200000492</v>
      </c>
      <c r="AM163" s="35">
        <f>HLOOKUP(AM$116+20,Kostengegevens!$AK$74:$BN$135,Stappen!$AA163,FALSE)</f>
        <v>40.734199999989869</v>
      </c>
      <c r="AN163" s="35">
        <f>HLOOKUP(AN$116+20,Kostengegevens!$AK$74:$BN$135,Stappen!$AA163,FALSE)</f>
        <v>58.436913999991702</v>
      </c>
      <c r="AO163" s="35">
        <f>HLOOKUP(AO$116+20,Kostengegevens!$AK$74:$BN$135,Stappen!$AA163,FALSE)</f>
        <v>58.436913999991702</v>
      </c>
      <c r="AP163" s="3"/>
      <c r="AQ163" s="35">
        <f>HLOOKUP(AQ$116+30,Kostengegevens!$AK$74:$BN$135,Stappen!$AA163,FALSE)</f>
        <v>162.8907905000051</v>
      </c>
      <c r="AR163" s="35">
        <f>HLOOKUP(AR$116+30,Kostengegevens!$AK$74:$BN$135,Stappen!$AA163,FALSE)</f>
        <v>683.43471499996303</v>
      </c>
      <c r="AS163" s="35">
        <f>HLOOKUP(AS$116+30,Kostengegevens!$AK$74:$BN$135,Stappen!$AA163,FALSE)</f>
        <v>978.47427449997485</v>
      </c>
      <c r="AT163" s="35">
        <f>HLOOKUP(AT$116+30,Kostengegevens!$AK$74:$BN$135,Stappen!$AA163,FALSE)</f>
        <v>978.47427449997485</v>
      </c>
      <c r="AU163" s="3"/>
      <c r="AV163" s="35">
        <f>HLOOKUP(AV$116+40,Kostengegevens!$AK$74:$BN$135,Stappen!$AA163,FALSE)</f>
        <v>1.3813256999997066</v>
      </c>
      <c r="AW163" s="35">
        <f>HLOOKUP(AW$116+40,Kostengegevens!$AK$74:$BN$135,Stappen!$AA163,FALSE)</f>
        <v>4.5145850000001246</v>
      </c>
      <c r="AX163" s="35">
        <f>HLOOKUP(AX$116+40,Kostengegevens!$AK$74:$BN$135,Stappen!$AA163,FALSE)</f>
        <v>6.3894280000000663</v>
      </c>
      <c r="AY163" s="35">
        <f>HLOOKUP(AY$116+40,Kostengegevens!$AK$74:$BN$135,Stappen!$AA163,FALSE)</f>
        <v>6.3894280000000663</v>
      </c>
      <c r="AZ163" s="3"/>
      <c r="BA163" s="35">
        <f>HLOOKUP(BA$116+50,Kostengegevens!$AK$74:$BN$135,Stappen!$AA163,FALSE)</f>
        <v>8.7331498599977522</v>
      </c>
      <c r="BB163" s="35">
        <f>HLOOKUP(BB$116+50,Kostengegevens!$AK$74:$BN$135,Stappen!$AA163,FALSE)</f>
        <v>17.291882060000091</v>
      </c>
      <c r="BC163" s="35">
        <f>HLOOKUP(BC$116+50,Kostengegevens!$AK$74:$BN$135,Stappen!$AA163,FALSE)</f>
        <v>21.202785559999427</v>
      </c>
      <c r="BD163" s="35">
        <f>HLOOKUP(BD$116+50,Kostengegevens!$AK$74:$BN$135,Stappen!$AA163,FALSE)</f>
        <v>21.202785559999427</v>
      </c>
      <c r="BE163" s="3"/>
      <c r="BG163" s="2">
        <v>13</v>
      </c>
      <c r="BH163" s="57">
        <v>48</v>
      </c>
      <c r="BI163" s="56">
        <f t="shared" si="25"/>
        <v>150</v>
      </c>
      <c r="BJ163" s="56">
        <f>HLOOKUP(Stappen!BJ$116,Stappen!$BL$116:$BP$178,BH163,FALSE)*VLOOKUP($BG163,Stappen!$BH$24:$BJ$46,3,FALSE)</f>
        <v>150</v>
      </c>
      <c r="BK163" s="62" t="s">
        <v>22</v>
      </c>
      <c r="BL163" s="61">
        <f>Stappen!BL163</f>
        <v>1</v>
      </c>
      <c r="BM163" s="61">
        <f>Stappen!BM163</f>
        <v>1</v>
      </c>
      <c r="BN163" s="61">
        <f>Stappen!BN163</f>
        <v>1</v>
      </c>
      <c r="BO163" s="61">
        <f>Stappen!BO163</f>
        <v>1</v>
      </c>
      <c r="BP163" s="61">
        <f>Stappen!BP163</f>
        <v>1</v>
      </c>
      <c r="BR163" s="56">
        <f>Stappen!BR163</f>
        <v>1</v>
      </c>
      <c r="BS163" s="56">
        <f>Stappen!BS163</f>
        <v>1</v>
      </c>
      <c r="BT163" s="56">
        <f>Stappen!BT163</f>
        <v>2</v>
      </c>
      <c r="BU163" s="56">
        <f>Stappen!BU163</f>
        <v>2</v>
      </c>
      <c r="BV163" s="56">
        <f>Stappen!BV163</f>
        <v>0</v>
      </c>
    </row>
    <row r="164" spans="1:74" x14ac:dyDescent="0.2">
      <c r="A164" s="113"/>
      <c r="B164" s="114">
        <v>64</v>
      </c>
      <c r="C164" s="236" t="s">
        <v>324</v>
      </c>
      <c r="D164" s="191"/>
      <c r="E164" s="244"/>
      <c r="F164" s="127">
        <f t="shared" si="21"/>
        <v>150</v>
      </c>
      <c r="G164" s="127"/>
      <c r="H164" s="133" t="s">
        <v>22</v>
      </c>
      <c r="I164" s="128"/>
      <c r="J164" s="134">
        <f t="shared" si="22"/>
        <v>657.4548750005988</v>
      </c>
      <c r="K164" s="129">
        <f t="shared" si="11"/>
        <v>65.127000000131829</v>
      </c>
      <c r="L164" s="130">
        <f t="shared" si="12"/>
        <v>192.53400000025067</v>
      </c>
      <c r="M164" s="131">
        <f t="shared" si="13"/>
        <v>3587.239125000815</v>
      </c>
      <c r="N164" s="129">
        <f t="shared" si="14"/>
        <v>19.618874999980562</v>
      </c>
      <c r="O164" s="130">
        <f t="shared" si="15"/>
        <v>58.905000000015661</v>
      </c>
      <c r="T164" s="91" t="str">
        <f t="shared" si="23"/>
        <v>1 woningbouw</v>
      </c>
      <c r="U164" s="263" t="s">
        <v>68</v>
      </c>
      <c r="V164" s="263" t="s">
        <v>128</v>
      </c>
      <c r="W164" s="263" t="s">
        <v>126</v>
      </c>
      <c r="X164" s="263" t="s">
        <v>129</v>
      </c>
      <c r="Y164" s="263" t="s">
        <v>62</v>
      </c>
      <c r="Z164" s="2">
        <f t="shared" si="24"/>
        <v>1</v>
      </c>
      <c r="AA164" s="35">
        <f t="shared" si="16"/>
        <v>49</v>
      </c>
      <c r="AB164" s="35">
        <f>HLOOKUP(AB$116,Kostengegevens!$AK$74:$BN$135,Stappen!$AA164,FALSE)</f>
        <v>4.383032500003992</v>
      </c>
      <c r="AC164" s="35">
        <f>HLOOKUP(AC$116,Kostengegevens!$AK$74:$BN$135,Stappen!$AA164,FALSE)</f>
        <v>4.383032500003992</v>
      </c>
      <c r="AD164" s="35">
        <f>HLOOKUP(AD$116,Kostengegevens!$AK$74:$BN$135,Stappen!$AA164,FALSE)</f>
        <v>18.716365833336567</v>
      </c>
      <c r="AE164" s="35">
        <f>HLOOKUP(AE$116,Kostengegevens!$AK$74:$BN$135,Stappen!$AA164,FALSE)</f>
        <v>17.84908583333754</v>
      </c>
      <c r="AF164" s="3"/>
      <c r="AG164" s="35">
        <f>HLOOKUP(AG$116+10,Kostengegevens!$AK$74:$BN$135,Stappen!$AA164,FALSE)</f>
        <v>0.43418000000087886</v>
      </c>
      <c r="AH164" s="35">
        <f>HLOOKUP(AH$116+10,Kostengegevens!$AK$74:$BN$135,Stappen!$AA164,FALSE)</f>
        <v>0.43418000000087886</v>
      </c>
      <c r="AI164" s="35">
        <f>HLOOKUP(AI$116+10,Kostengegevens!$AK$74:$BN$135,Stappen!$AA164,FALSE)</f>
        <v>3.3008466666665299</v>
      </c>
      <c r="AJ164" s="35">
        <f>HLOOKUP(AJ$116+10,Kostengegevens!$AK$74:$BN$135,Stappen!$AA164,FALSE)</f>
        <v>2.7664066666674216</v>
      </c>
      <c r="AK164" s="3"/>
      <c r="AL164" s="35">
        <f>HLOOKUP(AL$116+20,Kostengegevens!$AK$74:$BN$135,Stappen!$AA164,FALSE)</f>
        <v>1.2835600000016711</v>
      </c>
      <c r="AM164" s="35">
        <f>HLOOKUP(AM$116+20,Kostengegevens!$AK$74:$BN$135,Stappen!$AA164,FALSE)</f>
        <v>1.2835600000016711</v>
      </c>
      <c r="AN164" s="35">
        <f>HLOOKUP(AN$116+20,Kostengegevens!$AK$74:$BN$135,Stappen!$AA164,FALSE)</f>
        <v>9.5207660857554401</v>
      </c>
      <c r="AO164" s="35">
        <f>HLOOKUP(AO$116+20,Kostengegevens!$AK$74:$BN$135,Stappen!$AA164,FALSE)</f>
        <v>9.0235406085771501</v>
      </c>
      <c r="AP164" s="3"/>
      <c r="AQ164" s="35">
        <f>HLOOKUP(AQ$116+30,Kostengegevens!$AK$74:$BN$135,Stappen!$AA164,FALSE)</f>
        <v>23.914927500005433</v>
      </c>
      <c r="AR164" s="35">
        <f>HLOOKUP(AR$116+30,Kostengegevens!$AK$74:$BN$135,Stappen!$AA164,FALSE)</f>
        <v>23.914927500005433</v>
      </c>
      <c r="AS164" s="35">
        <f>HLOOKUP(AS$116+30,Kostengegevens!$AK$74:$BN$135,Stappen!$AA164,FALSE)</f>
        <v>161.24134520399457</v>
      </c>
      <c r="AT164" s="35">
        <f>HLOOKUP(AT$116+30,Kostengegevens!$AK$74:$BN$135,Stappen!$AA164,FALSE)</f>
        <v>152.95348927039959</v>
      </c>
      <c r="AU164" s="3"/>
      <c r="AV164" s="35">
        <f>HLOOKUP(AV$116+40,Kostengegevens!$AK$74:$BN$135,Stappen!$AA164,FALSE)</f>
        <v>0.13079249999987042</v>
      </c>
      <c r="AW164" s="35">
        <f>HLOOKUP(AW$116+40,Kostengegevens!$AK$74:$BN$135,Stappen!$AA164,FALSE)</f>
        <v>0.13079249999987042</v>
      </c>
      <c r="AX164" s="35">
        <f>HLOOKUP(AX$116+40,Kostengegevens!$AK$74:$BN$135,Stappen!$AA164,FALSE)</f>
        <v>0.99317147648662285</v>
      </c>
      <c r="AY164" s="35">
        <f>HLOOKUP(AY$116+40,Kostengegevens!$AK$74:$BN$135,Stappen!$AA164,FALSE)</f>
        <v>0.94945039764854755</v>
      </c>
      <c r="AZ164" s="3"/>
      <c r="BA164" s="35">
        <f>HLOOKUP(BA$116+50,Kostengegevens!$AK$74:$BN$135,Stappen!$AA164,FALSE)</f>
        <v>0.39270000000010441</v>
      </c>
      <c r="BB164" s="35">
        <f>HLOOKUP(BB$116+50,Kostengegevens!$AK$74:$BN$135,Stappen!$AA164,FALSE)</f>
        <v>0.39270000000010441</v>
      </c>
      <c r="BC164" s="35">
        <f>HLOOKUP(BC$116+50,Kostengegevens!$AK$74:$BN$135,Stappen!$AA164,FALSE)</f>
        <v>2.2364067773167449</v>
      </c>
      <c r="BD164" s="35">
        <f>HLOOKUP(BD$116+50,Kostengegevens!$AK$74:$BN$135,Stappen!$AA164,FALSE)</f>
        <v>0.57769067773182314</v>
      </c>
      <c r="BE164" s="3"/>
      <c r="BG164" s="2">
        <v>13</v>
      </c>
      <c r="BH164" s="57">
        <v>49</v>
      </c>
      <c r="BI164" s="56">
        <f t="shared" si="25"/>
        <v>150</v>
      </c>
      <c r="BJ164" s="56">
        <f>HLOOKUP(Stappen!BJ$116,Stappen!$BL$116:$BP$178,BH164,FALSE)*VLOOKUP($BG164,Stappen!$BH$24:$BJ$46,3,FALSE)</f>
        <v>150</v>
      </c>
      <c r="BK164" s="62" t="s">
        <v>22</v>
      </c>
      <c r="BL164" s="61">
        <f>Stappen!BL164</f>
        <v>1</v>
      </c>
      <c r="BM164" s="61">
        <f>Stappen!BM164</f>
        <v>1</v>
      </c>
      <c r="BN164" s="61">
        <f>Stappen!BN164</f>
        <v>1</v>
      </c>
      <c r="BO164" s="61">
        <f>Stappen!BO164</f>
        <v>1</v>
      </c>
      <c r="BP164" s="61">
        <f>Stappen!BP164</f>
        <v>1</v>
      </c>
      <c r="BR164" s="56">
        <f>Stappen!BR164</f>
        <v>1</v>
      </c>
      <c r="BS164" s="56">
        <f>Stappen!BS164</f>
        <v>1</v>
      </c>
      <c r="BT164" s="56">
        <f>Stappen!BT164</f>
        <v>2</v>
      </c>
      <c r="BU164" s="56">
        <f>Stappen!BU164</f>
        <v>2</v>
      </c>
      <c r="BV164" s="56">
        <f>Stappen!BV164</f>
        <v>0</v>
      </c>
    </row>
    <row r="165" spans="1:74" x14ac:dyDescent="0.2">
      <c r="A165" s="113"/>
      <c r="B165" s="114">
        <v>65</v>
      </c>
      <c r="C165" s="236" t="s">
        <v>325</v>
      </c>
      <c r="D165" s="191"/>
      <c r="E165" s="244"/>
      <c r="F165" s="127">
        <f t="shared" si="21"/>
        <v>150</v>
      </c>
      <c r="G165" s="127"/>
      <c r="H165" s="133" t="s">
        <v>22</v>
      </c>
      <c r="I165" s="128"/>
      <c r="J165" s="134">
        <f t="shared" si="22"/>
        <v>206.75400000015998</v>
      </c>
      <c r="K165" s="129">
        <f t="shared" si="11"/>
        <v>35.151749999977255</v>
      </c>
      <c r="L165" s="130">
        <f t="shared" si="12"/>
        <v>118.84274999999889</v>
      </c>
      <c r="M165" s="131">
        <f t="shared" si="13"/>
        <v>1981.3117499994405</v>
      </c>
      <c r="N165" s="129">
        <f t="shared" si="14"/>
        <v>12.584249999980557</v>
      </c>
      <c r="O165" s="130">
        <f t="shared" si="15"/>
        <v>26.774999999997817</v>
      </c>
      <c r="T165" s="91" t="str">
        <f t="shared" si="23"/>
        <v>1 woningbouw (alleen brand)</v>
      </c>
      <c r="U165" s="263" t="s">
        <v>130</v>
      </c>
      <c r="V165" s="263" t="s">
        <v>131</v>
      </c>
      <c r="W165" s="263" t="s">
        <v>132</v>
      </c>
      <c r="X165" s="263" t="s">
        <v>133</v>
      </c>
      <c r="Y165" s="263" t="s">
        <v>62</v>
      </c>
      <c r="Z165" s="2">
        <f t="shared" si="24"/>
        <v>1</v>
      </c>
      <c r="AA165" s="35">
        <f t="shared" si="16"/>
        <v>50</v>
      </c>
      <c r="AB165" s="35">
        <f>HLOOKUP(AB$116,Kostengegevens!$AK$74:$BN$135,Stappen!$AA165,FALSE)</f>
        <v>1.3783600000010665</v>
      </c>
      <c r="AC165" s="35">
        <f>HLOOKUP(AC$116,Kostengegevens!$AK$74:$BN$135,Stappen!$AA165,FALSE)</f>
        <v>19.126949999998487</v>
      </c>
      <c r="AD165" s="35">
        <f>HLOOKUP(AD$116,Kostengegevens!$AK$74:$BN$135,Stappen!$AA165,FALSE)</f>
        <v>24.421094999999696</v>
      </c>
      <c r="AE165" s="35">
        <f>HLOOKUP(AE$116,Kostengegevens!$AK$74:$BN$135,Stappen!$AA165,FALSE)</f>
        <v>58.850354999997762</v>
      </c>
      <c r="AF165" s="3"/>
      <c r="AG165" s="35">
        <f>HLOOKUP(AG$116+10,Kostengegevens!$AK$74:$BN$135,Stappen!$AA165,FALSE)</f>
        <v>0.23434499999984837</v>
      </c>
      <c r="AH165" s="35">
        <f>HLOOKUP(AH$116+10,Kostengegevens!$AK$74:$BN$135,Stappen!$AA165,FALSE)</f>
        <v>3.8254366666664055</v>
      </c>
      <c r="AI165" s="35">
        <f>HLOOKUP(AI$116+10,Kostengegevens!$AK$74:$BN$135,Stappen!$AA165,FALSE)</f>
        <v>4.976474999999823</v>
      </c>
      <c r="AJ165" s="35">
        <f>HLOOKUP(AJ$116+10,Kostengegevens!$AK$74:$BN$135,Stappen!$AA165,FALSE)</f>
        <v>11.395059999999489</v>
      </c>
      <c r="AK165" s="3"/>
      <c r="AL165" s="35">
        <f>HLOOKUP(AL$116+20,Kostengegevens!$AK$74:$BN$135,Stappen!$AA165,FALSE)</f>
        <v>0.79228499999999258</v>
      </c>
      <c r="AM165" s="35">
        <f>HLOOKUP(AM$116+20,Kostengegevens!$AK$74:$BN$135,Stappen!$AA165,FALSE)</f>
        <v>19.333810968187208</v>
      </c>
      <c r="AN165" s="35">
        <f>HLOOKUP(AN$116+20,Kostengegevens!$AK$74:$BN$135,Stappen!$AA165,FALSE)</f>
        <v>17.848400373443837</v>
      </c>
      <c r="AO165" s="35">
        <f>HLOOKUP(AO$116+20,Kostengegevens!$AK$74:$BN$135,Stappen!$AA165,FALSE)</f>
        <v>37.637162925310349</v>
      </c>
      <c r="AP165" s="3"/>
      <c r="AQ165" s="35">
        <f>HLOOKUP(AQ$116+30,Kostengegevens!$AK$74:$BN$135,Stappen!$AA165,FALSE)</f>
        <v>13.20874499999627</v>
      </c>
      <c r="AR165" s="35">
        <f>HLOOKUP(AR$116+30,Kostengegevens!$AK$74:$BN$135,Stappen!$AA165,FALSE)</f>
        <v>322.32704827109046</v>
      </c>
      <c r="AS165" s="35">
        <f>HLOOKUP(AS$116+30,Kostengegevens!$AK$74:$BN$135,Stappen!$AA165,FALSE)</f>
        <v>295.25679790456707</v>
      </c>
      <c r="AT165" s="35">
        <f>HLOOKUP(AT$116+30,Kostengegevens!$AK$74:$BN$135,Stappen!$AA165,FALSE)</f>
        <v>625.16815941910318</v>
      </c>
      <c r="AU165" s="3"/>
      <c r="AV165" s="35">
        <f>HLOOKUP(AV$116+40,Kostengegevens!$AK$74:$BN$135,Stappen!$AA165,FALSE)</f>
        <v>8.3894999999870379E-2</v>
      </c>
      <c r="AW165" s="35">
        <f>HLOOKUP(AW$116+40,Kostengegevens!$AK$74:$BN$135,Stappen!$AA165,FALSE)</f>
        <v>2.0450705947440611</v>
      </c>
      <c r="AX165" s="35">
        <f>HLOOKUP(AX$116+40,Kostengegevens!$AK$74:$BN$135,Stappen!$AA165,FALSE)</f>
        <v>1.8862978008298796</v>
      </c>
      <c r="AY165" s="35">
        <f>HLOOKUP(AY$116+40,Kostengegevens!$AK$74:$BN$135,Stappen!$AA165,FALSE)</f>
        <v>3.9765294398340529</v>
      </c>
      <c r="AZ165" s="3"/>
      <c r="BA165" s="35">
        <f>HLOOKUP(BA$116+50,Kostengegevens!$AK$74:$BN$135,Stappen!$AA165,FALSE)</f>
        <v>0.17849999999998545</v>
      </c>
      <c r="BB165" s="35">
        <f>HLOOKUP(BB$116+50,Kostengegevens!$AK$74:$BN$135,Stappen!$AA165,FALSE)</f>
        <v>4.4826175933610557</v>
      </c>
      <c r="BC165" s="35">
        <f>HLOOKUP(BC$116+50,Kostengegevens!$AK$74:$BN$135,Stappen!$AA165,FALSE)</f>
        <v>4.1111936431534559</v>
      </c>
      <c r="BD165" s="35">
        <f>HLOOKUP(BD$116+50,Kostengegevens!$AK$74:$BN$135,Stappen!$AA165,FALSE)</f>
        <v>5.7465707213693804</v>
      </c>
      <c r="BE165" s="3"/>
      <c r="BG165" s="2">
        <v>13</v>
      </c>
      <c r="BH165" s="57">
        <v>50</v>
      </c>
      <c r="BI165" s="56">
        <f t="shared" si="25"/>
        <v>150</v>
      </c>
      <c r="BJ165" s="56">
        <f>HLOOKUP(Stappen!BJ$116,Stappen!$BL$116:$BP$178,BH165,FALSE)*VLOOKUP($BG165,Stappen!$BH$24:$BJ$46,3,FALSE)</f>
        <v>150</v>
      </c>
      <c r="BK165" s="62" t="s">
        <v>22</v>
      </c>
      <c r="BL165" s="61">
        <f>Stappen!BL165</f>
        <v>1</v>
      </c>
      <c r="BM165" s="61">
        <f>Stappen!BM165</f>
        <v>1</v>
      </c>
      <c r="BN165" s="61">
        <f>Stappen!BN165</f>
        <v>1</v>
      </c>
      <c r="BO165" s="61">
        <f>Stappen!BO165</f>
        <v>1</v>
      </c>
      <c r="BP165" s="61">
        <f>Stappen!BP165</f>
        <v>1</v>
      </c>
      <c r="BR165" s="56">
        <f>Stappen!BR165</f>
        <v>1</v>
      </c>
      <c r="BS165" s="56">
        <f>Stappen!BS165</f>
        <v>1</v>
      </c>
      <c r="BT165" s="56">
        <f>Stappen!BT165</f>
        <v>3</v>
      </c>
      <c r="BU165" s="56">
        <f>Stappen!BU165</f>
        <v>3</v>
      </c>
      <c r="BV165" s="56">
        <f>Stappen!BV165</f>
        <v>0</v>
      </c>
    </row>
    <row r="166" spans="1:74" x14ac:dyDescent="0.2">
      <c r="A166" s="113"/>
      <c r="B166" s="114">
        <v>67</v>
      </c>
      <c r="C166" s="236" t="s">
        <v>326</v>
      </c>
      <c r="D166" s="191"/>
      <c r="E166" s="244"/>
      <c r="F166" s="127">
        <f t="shared" si="21"/>
        <v>0</v>
      </c>
      <c r="G166" s="127"/>
      <c r="H166" s="133" t="s">
        <v>22</v>
      </c>
      <c r="I166" s="128"/>
      <c r="J166" s="134">
        <f t="shared" si="22"/>
        <v>0</v>
      </c>
      <c r="K166" s="129">
        <f t="shared" si="11"/>
        <v>0</v>
      </c>
      <c r="L166" s="130">
        <f t="shared" si="12"/>
        <v>0</v>
      </c>
      <c r="M166" s="131">
        <f t="shared" si="13"/>
        <v>0</v>
      </c>
      <c r="N166" s="129">
        <f t="shared" si="14"/>
        <v>0</v>
      </c>
      <c r="O166" s="130">
        <f t="shared" si="15"/>
        <v>0</v>
      </c>
      <c r="T166" s="91" t="str">
        <f t="shared" si="23"/>
        <v>5 n.v.t.</v>
      </c>
      <c r="U166" s="263" t="s">
        <v>121</v>
      </c>
      <c r="V166" s="263" t="s">
        <v>106</v>
      </c>
      <c r="W166" s="263" t="s">
        <v>83</v>
      </c>
      <c r="X166" s="263" t="s">
        <v>84</v>
      </c>
      <c r="Y166" s="263" t="s">
        <v>62</v>
      </c>
      <c r="Z166" s="2">
        <f t="shared" si="24"/>
        <v>5</v>
      </c>
      <c r="AA166" s="35">
        <f t="shared" si="16"/>
        <v>51</v>
      </c>
      <c r="AB166" s="35">
        <f>HLOOKUP(AB$116,Kostengegevens!$AK$74:$BN$135,Stappen!$AA166,FALSE)</f>
        <v>0</v>
      </c>
      <c r="AC166" s="35">
        <f>HLOOKUP(AC$116,Kostengegevens!$AK$74:$BN$135,Stappen!$AA166,FALSE)</f>
        <v>0</v>
      </c>
      <c r="AD166" s="35">
        <f>HLOOKUP(AD$116,Kostengegevens!$AK$74:$BN$135,Stappen!$AA166,FALSE)</f>
        <v>0</v>
      </c>
      <c r="AE166" s="35">
        <f>HLOOKUP(AE$116,Kostengegevens!$AK$74:$BN$135,Stappen!$AA166,FALSE)</f>
        <v>0</v>
      </c>
      <c r="AF166" s="3"/>
      <c r="AG166" s="35">
        <f>HLOOKUP(AG$116+10,Kostengegevens!$AK$74:$BN$135,Stappen!$AA166,FALSE)</f>
        <v>0</v>
      </c>
      <c r="AH166" s="35">
        <f>HLOOKUP(AH$116+10,Kostengegevens!$AK$74:$BN$135,Stappen!$AA166,FALSE)</f>
        <v>0</v>
      </c>
      <c r="AI166" s="35">
        <f>HLOOKUP(AI$116+10,Kostengegevens!$AK$74:$BN$135,Stappen!$AA166,FALSE)</f>
        <v>0</v>
      </c>
      <c r="AJ166" s="35">
        <f>HLOOKUP(AJ$116+10,Kostengegevens!$AK$74:$BN$135,Stappen!$AA166,FALSE)</f>
        <v>0</v>
      </c>
      <c r="AK166" s="3"/>
      <c r="AL166" s="35">
        <f>HLOOKUP(AL$116+20,Kostengegevens!$AK$74:$BN$135,Stappen!$AA166,FALSE)</f>
        <v>0</v>
      </c>
      <c r="AM166" s="35">
        <f>HLOOKUP(AM$116+20,Kostengegevens!$AK$74:$BN$135,Stappen!$AA166,FALSE)</f>
        <v>0</v>
      </c>
      <c r="AN166" s="35">
        <f>HLOOKUP(AN$116+20,Kostengegevens!$AK$74:$BN$135,Stappen!$AA166,FALSE)</f>
        <v>0</v>
      </c>
      <c r="AO166" s="35">
        <f>HLOOKUP(AO$116+20,Kostengegevens!$AK$74:$BN$135,Stappen!$AA166,FALSE)</f>
        <v>0</v>
      </c>
      <c r="AP166" s="3"/>
      <c r="AQ166" s="35">
        <f>HLOOKUP(AQ$116+30,Kostengegevens!$AK$74:$BN$135,Stappen!$AA166,FALSE)</f>
        <v>0</v>
      </c>
      <c r="AR166" s="35">
        <f>HLOOKUP(AR$116+30,Kostengegevens!$AK$74:$BN$135,Stappen!$AA166,FALSE)</f>
        <v>0</v>
      </c>
      <c r="AS166" s="35">
        <f>HLOOKUP(AS$116+30,Kostengegevens!$AK$74:$BN$135,Stappen!$AA166,FALSE)</f>
        <v>0</v>
      </c>
      <c r="AT166" s="35">
        <f>HLOOKUP(AT$116+30,Kostengegevens!$AK$74:$BN$135,Stappen!$AA166,FALSE)</f>
        <v>0</v>
      </c>
      <c r="AU166" s="3"/>
      <c r="AV166" s="35">
        <f>HLOOKUP(AV$116+40,Kostengegevens!$AK$74:$BN$135,Stappen!$AA166,FALSE)</f>
        <v>0</v>
      </c>
      <c r="AW166" s="35">
        <f>HLOOKUP(AW$116+40,Kostengegevens!$AK$74:$BN$135,Stappen!$AA166,FALSE)</f>
        <v>0</v>
      </c>
      <c r="AX166" s="35">
        <f>HLOOKUP(AX$116+40,Kostengegevens!$AK$74:$BN$135,Stappen!$AA166,FALSE)</f>
        <v>0</v>
      </c>
      <c r="AY166" s="35">
        <f>HLOOKUP(AY$116+40,Kostengegevens!$AK$74:$BN$135,Stappen!$AA166,FALSE)</f>
        <v>0</v>
      </c>
      <c r="AZ166" s="3"/>
      <c r="BA166" s="35">
        <f>HLOOKUP(BA$116+50,Kostengegevens!$AK$74:$BN$135,Stappen!$AA166,FALSE)</f>
        <v>0</v>
      </c>
      <c r="BB166" s="35">
        <f>HLOOKUP(BB$116+50,Kostengegevens!$AK$74:$BN$135,Stappen!$AA166,FALSE)</f>
        <v>0</v>
      </c>
      <c r="BC166" s="35">
        <f>HLOOKUP(BC$116+50,Kostengegevens!$AK$74:$BN$135,Stappen!$AA166,FALSE)</f>
        <v>0</v>
      </c>
      <c r="BD166" s="35">
        <f>HLOOKUP(BD$116+50,Kostengegevens!$AK$74:$BN$135,Stappen!$AA166,FALSE)</f>
        <v>0</v>
      </c>
      <c r="BE166" s="3"/>
      <c r="BG166" s="2">
        <v>13</v>
      </c>
      <c r="BH166" s="57">
        <v>51</v>
      </c>
      <c r="BI166" s="56">
        <f t="shared" si="25"/>
        <v>0</v>
      </c>
      <c r="BJ166" s="56">
        <f>HLOOKUP(Stappen!BJ$116,Stappen!$BL$116:$BP$178,BH166,FALSE)*VLOOKUP($BG166,Stappen!$BH$24:$BJ$46,3,FALSE)</f>
        <v>0</v>
      </c>
      <c r="BK166" s="62" t="s">
        <v>22</v>
      </c>
      <c r="BL166" s="61">
        <f>Stappen!BL166</f>
        <v>0</v>
      </c>
      <c r="BM166" s="61">
        <f>Stappen!BM166</f>
        <v>0</v>
      </c>
      <c r="BN166" s="61">
        <f>Stappen!BN166</f>
        <v>0</v>
      </c>
      <c r="BO166" s="61">
        <f>Stappen!BO166</f>
        <v>0</v>
      </c>
      <c r="BP166" s="61">
        <f>Stappen!BP166</f>
        <v>0</v>
      </c>
      <c r="BR166" s="56">
        <f>Stappen!BR166</f>
        <v>5</v>
      </c>
      <c r="BS166" s="56">
        <f>Stappen!BS166</f>
        <v>5</v>
      </c>
      <c r="BT166" s="56">
        <f>Stappen!BT166</f>
        <v>2</v>
      </c>
      <c r="BU166" s="56">
        <f>Stappen!BU166</f>
        <v>2</v>
      </c>
      <c r="BV166" s="56">
        <f>Stappen!BV166</f>
        <v>0</v>
      </c>
    </row>
    <row r="167" spans="1:74" x14ac:dyDescent="0.2">
      <c r="A167" s="120" t="s">
        <v>174</v>
      </c>
      <c r="B167" s="114"/>
      <c r="C167" s="235" t="s">
        <v>12</v>
      </c>
      <c r="D167" s="191"/>
      <c r="E167" s="133"/>
      <c r="F167" s="133"/>
      <c r="G167" s="133"/>
      <c r="H167" s="133"/>
      <c r="I167" s="128"/>
      <c r="J167" s="134"/>
      <c r="K167" s="129"/>
      <c r="L167" s="130"/>
      <c r="M167" s="131"/>
      <c r="N167" s="129"/>
      <c r="O167" s="130"/>
      <c r="P167" s="84"/>
      <c r="T167" s="91"/>
      <c r="U167" s="263"/>
      <c r="V167" s="263"/>
      <c r="W167" s="263"/>
      <c r="X167" s="263"/>
      <c r="Y167" s="263"/>
      <c r="AA167" s="35">
        <f t="shared" si="16"/>
        <v>52</v>
      </c>
      <c r="AB167" s="35">
        <f>HLOOKUP(AB$116,Kostengegevens!$AK$74:$BN$135,Stappen!$AA167,FALSE)</f>
        <v>0</v>
      </c>
      <c r="AC167" s="35">
        <f>HLOOKUP(AC$116,Kostengegevens!$AK$74:$BN$135,Stappen!$AA167,FALSE)</f>
        <v>0</v>
      </c>
      <c r="AD167" s="35">
        <f>HLOOKUP(AD$116,Kostengegevens!$AK$74:$BN$135,Stappen!$AA167,FALSE)</f>
        <v>0</v>
      </c>
      <c r="AE167" s="35">
        <f>HLOOKUP(AE$116,Kostengegevens!$AK$74:$BN$135,Stappen!$AA167,FALSE)</f>
        <v>0</v>
      </c>
      <c r="AF167" s="3"/>
      <c r="AG167" s="35">
        <f>HLOOKUP(AG$116+10,Kostengegevens!$AK$74:$BN$135,Stappen!$AA167,FALSE)</f>
        <v>0</v>
      </c>
      <c r="AH167" s="35">
        <f>HLOOKUP(AH$116+10,Kostengegevens!$AK$74:$BN$135,Stappen!$AA167,FALSE)</f>
        <v>0</v>
      </c>
      <c r="AI167" s="35">
        <f>HLOOKUP(AI$116+10,Kostengegevens!$AK$74:$BN$135,Stappen!$AA167,FALSE)</f>
        <v>0</v>
      </c>
      <c r="AJ167" s="35">
        <f>HLOOKUP(AJ$116+10,Kostengegevens!$AK$74:$BN$135,Stappen!$AA167,FALSE)</f>
        <v>0</v>
      </c>
      <c r="AK167" s="3"/>
      <c r="AL167" s="35">
        <f>HLOOKUP(AL$116+20,Kostengegevens!$AK$74:$BN$135,Stappen!$AA167,FALSE)</f>
        <v>0</v>
      </c>
      <c r="AM167" s="35">
        <f>HLOOKUP(AM$116+20,Kostengegevens!$AK$74:$BN$135,Stappen!$AA167,FALSE)</f>
        <v>0</v>
      </c>
      <c r="AN167" s="35">
        <f>HLOOKUP(AN$116+20,Kostengegevens!$AK$74:$BN$135,Stappen!$AA167,FALSE)</f>
        <v>0</v>
      </c>
      <c r="AO167" s="35">
        <f>HLOOKUP(AO$116+20,Kostengegevens!$AK$74:$BN$135,Stappen!$AA167,FALSE)</f>
        <v>0</v>
      </c>
      <c r="AP167" s="3"/>
      <c r="AQ167" s="35">
        <f>HLOOKUP(AQ$116+30,Kostengegevens!$AK$74:$BN$135,Stappen!$AA167,FALSE)</f>
        <v>0</v>
      </c>
      <c r="AR167" s="35">
        <f>HLOOKUP(AR$116+30,Kostengegevens!$AK$74:$BN$135,Stappen!$AA167,FALSE)</f>
        <v>0</v>
      </c>
      <c r="AS167" s="35">
        <f>HLOOKUP(AS$116+30,Kostengegevens!$AK$74:$BN$135,Stappen!$AA167,FALSE)</f>
        <v>0</v>
      </c>
      <c r="AT167" s="35">
        <f>HLOOKUP(AT$116+30,Kostengegevens!$AK$74:$BN$135,Stappen!$AA167,FALSE)</f>
        <v>0</v>
      </c>
      <c r="AU167" s="3"/>
      <c r="AV167" s="35">
        <f>HLOOKUP(AV$116+40,Kostengegevens!$AK$74:$BN$135,Stappen!$AA167,FALSE)</f>
        <v>0</v>
      </c>
      <c r="AW167" s="35">
        <f>HLOOKUP(AW$116+40,Kostengegevens!$AK$74:$BN$135,Stappen!$AA167,FALSE)</f>
        <v>0</v>
      </c>
      <c r="AX167" s="35">
        <f>HLOOKUP(AX$116+40,Kostengegevens!$AK$74:$BN$135,Stappen!$AA167,FALSE)</f>
        <v>0</v>
      </c>
      <c r="AY167" s="35">
        <f>HLOOKUP(AY$116+40,Kostengegevens!$AK$74:$BN$135,Stappen!$AA167,FALSE)</f>
        <v>0</v>
      </c>
      <c r="AZ167" s="3"/>
      <c r="BA167" s="35">
        <f>HLOOKUP(BA$116+50,Kostengegevens!$AK$74:$BN$135,Stappen!$AA167,FALSE)</f>
        <v>0</v>
      </c>
      <c r="BB167" s="35">
        <f>HLOOKUP(BB$116+50,Kostengegevens!$AK$74:$BN$135,Stappen!$AA167,FALSE)</f>
        <v>0</v>
      </c>
      <c r="BC167" s="35">
        <f>HLOOKUP(BC$116+50,Kostengegevens!$AK$74:$BN$135,Stappen!$AA167,FALSE)</f>
        <v>0</v>
      </c>
      <c r="BD167" s="35">
        <f>HLOOKUP(BD$116+50,Kostengegevens!$AK$74:$BN$135,Stappen!$AA167,FALSE)</f>
        <v>0</v>
      </c>
      <c r="BE167" s="3"/>
      <c r="BH167" s="57">
        <v>52</v>
      </c>
      <c r="BI167" s="56"/>
      <c r="BJ167" s="56"/>
      <c r="BK167" s="62"/>
      <c r="BL167" s="61"/>
      <c r="BM167" s="61"/>
      <c r="BN167" s="61"/>
      <c r="BO167" s="61"/>
      <c r="BP167" s="61"/>
      <c r="BR167" s="56"/>
      <c r="BS167" s="56"/>
      <c r="BT167" s="56"/>
      <c r="BU167" s="56"/>
      <c r="BV167" s="56"/>
    </row>
    <row r="168" spans="1:74" x14ac:dyDescent="0.2">
      <c r="A168" s="113"/>
      <c r="B168" s="114">
        <v>66</v>
      </c>
      <c r="C168" s="236" t="s">
        <v>57</v>
      </c>
      <c r="D168" s="191"/>
      <c r="E168" s="244"/>
      <c r="F168" s="127">
        <f>BI168</f>
        <v>0.11682242990654206</v>
      </c>
      <c r="G168" s="127"/>
      <c r="H168" s="133" t="s">
        <v>23</v>
      </c>
      <c r="I168" s="128"/>
      <c r="J168" s="134">
        <f t="shared" ref="J168" si="26">HLOOKUP($Z168,$AB$116:$AF$183,$AA168,FALSE)*$F168</f>
        <v>5634.6366822429691</v>
      </c>
      <c r="K168" s="129">
        <f t="shared" si="11"/>
        <v>1231.3498831775669</v>
      </c>
      <c r="L168" s="130">
        <f t="shared" si="12"/>
        <v>3299.4602803738289</v>
      </c>
      <c r="M168" s="131">
        <f t="shared" si="13"/>
        <v>48356.438084112189</v>
      </c>
      <c r="N168" s="129">
        <f t="shared" si="14"/>
        <v>341.5122663551407</v>
      </c>
      <c r="O168" s="130">
        <f t="shared" si="15"/>
        <v>647.80023364485658</v>
      </c>
      <c r="T168" s="91" t="str">
        <f>HLOOKUP(Z168,$U$116:$Y$183,AA168,FALSE)</f>
        <v>2 personenlift (tot 8 personen)</v>
      </c>
      <c r="U168" s="263" t="s">
        <v>134</v>
      </c>
      <c r="V168" s="263" t="s">
        <v>136</v>
      </c>
      <c r="W168" s="263" t="s">
        <v>135</v>
      </c>
      <c r="X168" s="263" t="s">
        <v>84</v>
      </c>
      <c r="Y168" s="263" t="s">
        <v>62</v>
      </c>
      <c r="Z168" s="2">
        <f>HLOOKUP(Z$116,$BR$116:$BV$183,BH168,FALSE)</f>
        <v>2</v>
      </c>
      <c r="AA168" s="35">
        <f t="shared" si="16"/>
        <v>53</v>
      </c>
      <c r="AB168" s="35">
        <f>HLOOKUP(AB$116,Kostengegevens!$AK$74:$BN$135,Stappen!$AA168,FALSE)</f>
        <v>23147.134999999907</v>
      </c>
      <c r="AC168" s="333">
        <f>HLOOKUP(AC$116,Kostengegevens!$AK$74:$BN$135,Stappen!$AA168,FALSE)+AE168*F15</f>
        <v>48232.489999999816</v>
      </c>
      <c r="AD168" s="333">
        <f>HLOOKUP(AD$116,Kostengegevens!$AK$74:$BN$135,Stappen!$AA168,FALSE)+AE168*F15</f>
        <v>64017.669999999896</v>
      </c>
      <c r="AE168" s="35">
        <f>HLOOKUP(AE$116,Kostengegevens!$AK$74:$BN$135,Stappen!$AA168,FALSE)</f>
        <v>4384.7699999999604</v>
      </c>
      <c r="AF168" s="150"/>
      <c r="AG168" s="35">
        <f>HLOOKUP(AG$116+10,Kostengegevens!$AK$74:$BN$135,Stappen!$AA168,FALSE)</f>
        <v>6018.2550000000265</v>
      </c>
      <c r="AH168" s="333">
        <f>HLOOKUP(AH$116+10,Kostengegevens!$AK$74:$BN$135,Stappen!$AA168,FALSE)+AJ168*F15</f>
        <v>10540.354999999972</v>
      </c>
      <c r="AI168" s="333">
        <f>HLOOKUP(AI$116+10,Kostengegevens!$AK$74:$BN$135,Stappen!$AA168,FALSE)+AJ168*F15</f>
        <v>13989.924999999967</v>
      </c>
      <c r="AJ168" s="35">
        <f>HLOOKUP(AJ$116+10,Kostengegevens!$AK$74:$BN$135,Stappen!$AA168,FALSE)</f>
        <v>958.21499999998912</v>
      </c>
      <c r="AK168" s="3"/>
      <c r="AL168" s="35">
        <f>HLOOKUP(AL$116+20,Kostengegevens!$AK$74:$BN$135,Stappen!$AA168,FALSE)</f>
        <v>17103.264999999999</v>
      </c>
      <c r="AM168" s="333">
        <f>HLOOKUP(AM$116+20,Kostengegevens!$AK$74:$BN$135,Stappen!$AA168,FALSE)+AO168*F15</f>
        <v>28243.379999999976</v>
      </c>
      <c r="AN168" s="333">
        <f>HLOOKUP(AN$116+20,Kostengegevens!$AK$74:$BN$135,Stappen!$AA168,FALSE)+AO168*F15</f>
        <v>37486.670000000013</v>
      </c>
      <c r="AO168" s="35">
        <f>HLOOKUP(AO$116+20,Kostengegevens!$AK$74:$BN$135,Stappen!$AA168,FALSE)</f>
        <v>2567.5800000000017</v>
      </c>
      <c r="AP168" s="3"/>
      <c r="AQ168" s="35">
        <f>HLOOKUP(AQ$116+30,Kostengegevens!$AK$74:$BN$135,Stappen!$AA168,FALSE)</f>
        <v>247976.53500000061</v>
      </c>
      <c r="AR168" s="333">
        <f>HLOOKUP(AR$116+30,Kostengegevens!$AK$74:$BN$135,Stappen!$AA168,FALSE)+AT168*F15</f>
        <v>413931.11000000034</v>
      </c>
      <c r="AS168" s="333">
        <f>HLOOKUP(AS$116+30,Kostengegevens!$AK$74:$BN$135,Stappen!$AA168,FALSE)+AT168*F15</f>
        <v>549399.47500000149</v>
      </c>
      <c r="AT168" s="35">
        <f>HLOOKUP(AT$116+30,Kostengegevens!$AK$74:$BN$135,Stappen!$AA168,FALSE)</f>
        <v>37630.100000000552</v>
      </c>
      <c r="AU168" s="3"/>
      <c r="AV168" s="35">
        <f>HLOOKUP(AV$116+40,Kostengegevens!$AK$74:$BN$135,Stappen!$AA168,FALSE)</f>
        <v>1805.0099999999984</v>
      </c>
      <c r="AW168" s="333">
        <f>HLOOKUP(AW$116+40,Kostengegevens!$AK$74:$BN$135,Stappen!$AA168,FALSE)+AY168*F15</f>
        <v>2923.3450000000043</v>
      </c>
      <c r="AX168" s="333">
        <f>HLOOKUP(AX$116+40,Kostengegevens!$AK$74:$BN$135,Stappen!$AA168,FALSE)+AY168*F15</f>
        <v>3880.0699999999956</v>
      </c>
      <c r="AY168" s="35">
        <f>HLOOKUP(AY$116+40,Kostengegevens!$AK$74:$BN$135,Stappen!$AA168,FALSE)</f>
        <v>265.76000000000192</v>
      </c>
      <c r="AZ168" s="3"/>
      <c r="BA168" s="35">
        <f>HLOOKUP(BA$116+50,Kostengegevens!$AK$74:$BN$135,Stappen!$AA168,FALSE)</f>
        <v>5843.9668500000098</v>
      </c>
      <c r="BB168" s="333">
        <f>HLOOKUP(BB$116+50,Kostengegevens!$AK$74:$BN$135,Stappen!$AA168,FALSE)+BD168*F15</f>
        <v>5545.1699999999728</v>
      </c>
      <c r="BC168" s="333">
        <f>HLOOKUP(BC$116+50,Kostengegevens!$AK$74:$BN$135,Stappen!$AA168,FALSE)+BD168*F15</f>
        <v>7359.9499999999789</v>
      </c>
      <c r="BD168" s="35">
        <f>HLOOKUP(BD$116+50,Kostengegevens!$AK$74:$BN$135,Stappen!$AA168,FALSE)</f>
        <v>504.10999999999336</v>
      </c>
      <c r="BE168" s="3"/>
      <c r="BG168" s="2">
        <v>14</v>
      </c>
      <c r="BH168" s="57">
        <v>53</v>
      </c>
      <c r="BI168" s="56">
        <f>BJ168</f>
        <v>0.11682242990654206</v>
      </c>
      <c r="BJ168" s="56">
        <f>HLOOKUP(Stappen!BJ$116,Stappen!$BL$116:$BP$178,BH168,FALSE)*VLOOKUP($BG168,Stappen!$BH$24:$BJ$46,3,FALSE)</f>
        <v>0.11682242990654206</v>
      </c>
      <c r="BK168" s="62" t="s">
        <v>23</v>
      </c>
      <c r="BL168" s="61">
        <f>Stappen!BL168</f>
        <v>0</v>
      </c>
      <c r="BM168" s="61">
        <f>Stappen!BM168</f>
        <v>7.7881619937694702E-4</v>
      </c>
      <c r="BN168" s="61">
        <f>Stappen!BN168</f>
        <v>1.2562814070351759E-3</v>
      </c>
      <c r="BO168" s="61">
        <f>Stappen!BO168</f>
        <v>8.7642418930762491E-4</v>
      </c>
      <c r="BP168" s="61">
        <f>Stappen!BP168</f>
        <v>0</v>
      </c>
      <c r="BR168" s="56">
        <f>Stappen!BR168</f>
        <v>5</v>
      </c>
      <c r="BS168" s="56">
        <f>Stappen!BS168</f>
        <v>2</v>
      </c>
      <c r="BT168" s="56">
        <f>Stappen!BT168</f>
        <v>2</v>
      </c>
      <c r="BU168" s="56">
        <f>Stappen!BU168</f>
        <v>2</v>
      </c>
      <c r="BV168" s="56">
        <f>Stappen!BV168</f>
        <v>0</v>
      </c>
    </row>
    <row r="169" spans="1:74" x14ac:dyDescent="0.2">
      <c r="A169" s="113"/>
      <c r="B169" s="114"/>
      <c r="C169" s="146" t="s">
        <v>235</v>
      </c>
      <c r="D169" s="191"/>
      <c r="E169" s="133"/>
      <c r="F169" s="133"/>
      <c r="G169" s="133"/>
      <c r="H169" s="133"/>
      <c r="I169" s="128"/>
      <c r="J169" s="134"/>
      <c r="K169" s="129"/>
      <c r="L169" s="130"/>
      <c r="M169" s="131"/>
      <c r="N169" s="129"/>
      <c r="O169" s="130"/>
      <c r="P169" s="84"/>
      <c r="T169" s="91"/>
      <c r="U169" s="263"/>
      <c r="V169" s="263"/>
      <c r="W169" s="263"/>
      <c r="X169" s="263"/>
      <c r="Y169" s="263"/>
      <c r="AA169" s="35">
        <f t="shared" si="16"/>
        <v>54</v>
      </c>
      <c r="AB169" s="35">
        <f>HLOOKUP(AB$116,Kostengegevens!$AK$74:$BN$135,Stappen!$AA169,FALSE)</f>
        <v>0</v>
      </c>
      <c r="AC169" s="35">
        <f>HLOOKUP(AC$116,Kostengegevens!$AK$74:$BN$135,Stappen!$AA169,FALSE)</f>
        <v>0</v>
      </c>
      <c r="AD169" s="35">
        <f>HLOOKUP(AD$116,Kostengegevens!$AK$74:$BN$135,Stappen!$AA169,FALSE)</f>
        <v>0</v>
      </c>
      <c r="AE169" s="35">
        <f>HLOOKUP(AE$116,Kostengegevens!$AK$74:$BN$135,Stappen!$AA169,FALSE)</f>
        <v>0</v>
      </c>
      <c r="AF169" s="150"/>
      <c r="AG169" s="35">
        <f>HLOOKUP(AG$116+10,Kostengegevens!$AK$74:$BN$135,Stappen!$AA169,FALSE)</f>
        <v>0</v>
      </c>
      <c r="AH169" s="35">
        <f>HLOOKUP(AH$116+10,Kostengegevens!$AK$74:$BN$135,Stappen!$AA169,FALSE)</f>
        <v>0</v>
      </c>
      <c r="AI169" s="35">
        <f>HLOOKUP(AI$116+10,Kostengegevens!$AK$74:$BN$135,Stappen!$AA169,FALSE)</f>
        <v>0</v>
      </c>
      <c r="AJ169" s="35">
        <f>HLOOKUP(AJ$116+10,Kostengegevens!$AK$74:$BN$135,Stappen!$AA169,FALSE)</f>
        <v>0</v>
      </c>
      <c r="AK169" s="3"/>
      <c r="AL169" s="35">
        <f>HLOOKUP(AL$116+20,Kostengegevens!$AK$74:$BN$135,Stappen!$AA169,FALSE)</f>
        <v>0</v>
      </c>
      <c r="AM169" s="35">
        <f>HLOOKUP(AM$116+20,Kostengegevens!$AK$74:$BN$135,Stappen!$AA169,FALSE)</f>
        <v>0</v>
      </c>
      <c r="AN169" s="35">
        <f>HLOOKUP(AN$116+20,Kostengegevens!$AK$74:$BN$135,Stappen!$AA169,FALSE)</f>
        <v>0</v>
      </c>
      <c r="AO169" s="35">
        <f>HLOOKUP(AO$116+20,Kostengegevens!$AK$74:$BN$135,Stappen!$AA169,FALSE)</f>
        <v>0</v>
      </c>
      <c r="AP169" s="3"/>
      <c r="AQ169" s="35">
        <f>HLOOKUP(AQ$116+30,Kostengegevens!$AK$74:$BN$135,Stappen!$AA169,FALSE)</f>
        <v>0</v>
      </c>
      <c r="AR169" s="35">
        <f>HLOOKUP(AR$116+30,Kostengegevens!$AK$74:$BN$135,Stappen!$AA169,FALSE)</f>
        <v>0</v>
      </c>
      <c r="AS169" s="35">
        <f>HLOOKUP(AS$116+30,Kostengegevens!$AK$74:$BN$135,Stappen!$AA169,FALSE)</f>
        <v>0</v>
      </c>
      <c r="AT169" s="35">
        <f>HLOOKUP(AT$116+30,Kostengegevens!$AK$74:$BN$135,Stappen!$AA169,FALSE)</f>
        <v>0</v>
      </c>
      <c r="AU169" s="3"/>
      <c r="AV169" s="35">
        <f>HLOOKUP(AV$116+40,Kostengegevens!$AK$74:$BN$135,Stappen!$AA169,FALSE)</f>
        <v>0</v>
      </c>
      <c r="AW169" s="35">
        <f>HLOOKUP(AW$116+40,Kostengegevens!$AK$74:$BN$135,Stappen!$AA169,FALSE)</f>
        <v>0</v>
      </c>
      <c r="AX169" s="35">
        <f>HLOOKUP(AX$116+40,Kostengegevens!$AK$74:$BN$135,Stappen!$AA169,FALSE)</f>
        <v>0</v>
      </c>
      <c r="AY169" s="35">
        <f>HLOOKUP(AY$116+40,Kostengegevens!$AK$74:$BN$135,Stappen!$AA169,FALSE)</f>
        <v>0</v>
      </c>
      <c r="AZ169" s="3"/>
      <c r="BA169" s="35">
        <f>HLOOKUP(BA$116+50,Kostengegevens!$AK$74:$BN$135,Stappen!$AA169,FALSE)</f>
        <v>0</v>
      </c>
      <c r="BB169" s="35">
        <f>HLOOKUP(BB$116+50,Kostengegevens!$AK$74:$BN$135,Stappen!$AA169,FALSE)</f>
        <v>0</v>
      </c>
      <c r="BC169" s="35">
        <f>HLOOKUP(BC$116+50,Kostengegevens!$AK$74:$BN$135,Stappen!$AA169,FALSE)</f>
        <v>0</v>
      </c>
      <c r="BD169" s="35">
        <f>HLOOKUP(BD$116+50,Kostengegevens!$AK$74:$BN$135,Stappen!$AA169,FALSE)</f>
        <v>0</v>
      </c>
      <c r="BE169" s="3"/>
      <c r="BH169" s="57">
        <v>54</v>
      </c>
      <c r="BI169" s="56"/>
      <c r="BJ169" s="56"/>
      <c r="BK169" s="62"/>
      <c r="BL169" s="61"/>
      <c r="BM169" s="61"/>
      <c r="BN169" s="61"/>
      <c r="BO169" s="61"/>
      <c r="BP169" s="61"/>
      <c r="BR169" s="56"/>
      <c r="BS169" s="56"/>
      <c r="BT169" s="56"/>
      <c r="BU169" s="56"/>
      <c r="BV169" s="56"/>
    </row>
    <row r="170" spans="1:74" x14ac:dyDescent="0.2">
      <c r="A170" s="120" t="s">
        <v>175</v>
      </c>
      <c r="B170" s="114"/>
      <c r="C170" s="235" t="s">
        <v>241</v>
      </c>
      <c r="D170" s="191"/>
      <c r="E170" s="133"/>
      <c r="F170" s="133"/>
      <c r="G170" s="133"/>
      <c r="H170" s="133"/>
      <c r="I170" s="128"/>
      <c r="J170" s="134"/>
      <c r="K170" s="129"/>
      <c r="L170" s="130"/>
      <c r="M170" s="131"/>
      <c r="N170" s="129"/>
      <c r="O170" s="130"/>
      <c r="P170" s="84"/>
      <c r="T170" s="91"/>
      <c r="U170" s="263"/>
      <c r="V170" s="263"/>
      <c r="W170" s="263"/>
      <c r="X170" s="263"/>
      <c r="Y170" s="263"/>
      <c r="AA170" s="35">
        <f t="shared" si="16"/>
        <v>55</v>
      </c>
      <c r="AB170" s="35">
        <f>HLOOKUP(AB$116,Kostengegevens!$AK$74:$BN$135,Stappen!$AA170,FALSE)</f>
        <v>0</v>
      </c>
      <c r="AC170" s="35">
        <f>HLOOKUP(AC$116,Kostengegevens!$AK$74:$BN$135,Stappen!$AA170,FALSE)</f>
        <v>0</v>
      </c>
      <c r="AD170" s="35">
        <f>HLOOKUP(AD$116,Kostengegevens!$AK$74:$BN$135,Stappen!$AA170,FALSE)</f>
        <v>0</v>
      </c>
      <c r="AE170" s="35">
        <f>HLOOKUP(AE$116,Kostengegevens!$AK$74:$BN$135,Stappen!$AA170,FALSE)</f>
        <v>0</v>
      </c>
      <c r="AF170" s="3"/>
      <c r="AG170" s="35">
        <f>HLOOKUP(AG$116+10,Kostengegevens!$AK$74:$BN$135,Stappen!$AA170,FALSE)</f>
        <v>0</v>
      </c>
      <c r="AH170" s="35">
        <f>HLOOKUP(AH$116+10,Kostengegevens!$AK$74:$BN$135,Stappen!$AA170,FALSE)</f>
        <v>0</v>
      </c>
      <c r="AI170" s="35">
        <f>HLOOKUP(AI$116+10,Kostengegevens!$AK$74:$BN$135,Stappen!$AA170,FALSE)</f>
        <v>0</v>
      </c>
      <c r="AJ170" s="35">
        <f>HLOOKUP(AJ$116+10,Kostengegevens!$AK$74:$BN$135,Stappen!$AA170,FALSE)</f>
        <v>0</v>
      </c>
      <c r="AK170" s="3"/>
      <c r="AL170" s="35">
        <f>HLOOKUP(AL$116+20,Kostengegevens!$AK$74:$BN$135,Stappen!$AA170,FALSE)</f>
        <v>0</v>
      </c>
      <c r="AM170" s="35">
        <f>HLOOKUP(AM$116+20,Kostengegevens!$AK$74:$BN$135,Stappen!$AA170,FALSE)</f>
        <v>0</v>
      </c>
      <c r="AN170" s="35">
        <f>HLOOKUP(AN$116+20,Kostengegevens!$AK$74:$BN$135,Stappen!$AA170,FALSE)</f>
        <v>0</v>
      </c>
      <c r="AO170" s="35">
        <f>HLOOKUP(AO$116+20,Kostengegevens!$AK$74:$BN$135,Stappen!$AA170,FALSE)</f>
        <v>0</v>
      </c>
      <c r="AP170" s="3"/>
      <c r="AQ170" s="35">
        <f>HLOOKUP(AQ$116+30,Kostengegevens!$AK$74:$BN$135,Stappen!$AA170,FALSE)</f>
        <v>0</v>
      </c>
      <c r="AR170" s="35">
        <f>HLOOKUP(AR$116+30,Kostengegevens!$AK$74:$BN$135,Stappen!$AA170,FALSE)</f>
        <v>0</v>
      </c>
      <c r="AS170" s="35">
        <f>HLOOKUP(AS$116+30,Kostengegevens!$AK$74:$BN$135,Stappen!$AA170,FALSE)</f>
        <v>0</v>
      </c>
      <c r="AT170" s="35">
        <f>HLOOKUP(AT$116+30,Kostengegevens!$AK$74:$BN$135,Stappen!$AA170,FALSE)</f>
        <v>0</v>
      </c>
      <c r="AU170" s="3"/>
      <c r="AV170" s="35">
        <f>HLOOKUP(AV$116+40,Kostengegevens!$AK$74:$BN$135,Stappen!$AA170,FALSE)</f>
        <v>0</v>
      </c>
      <c r="AW170" s="35">
        <f>HLOOKUP(AW$116+40,Kostengegevens!$AK$74:$BN$135,Stappen!$AA170,FALSE)</f>
        <v>0</v>
      </c>
      <c r="AX170" s="35">
        <f>HLOOKUP(AX$116+40,Kostengegevens!$AK$74:$BN$135,Stappen!$AA170,FALSE)</f>
        <v>0</v>
      </c>
      <c r="AY170" s="35">
        <f>HLOOKUP(AY$116+40,Kostengegevens!$AK$74:$BN$135,Stappen!$AA170,FALSE)</f>
        <v>0</v>
      </c>
      <c r="AZ170" s="3"/>
      <c r="BA170" s="35">
        <f>HLOOKUP(BA$116+50,Kostengegevens!$AK$74:$BN$135,Stappen!$AA170,FALSE)</f>
        <v>0</v>
      </c>
      <c r="BB170" s="35">
        <f>HLOOKUP(BB$116+50,Kostengegevens!$AK$74:$BN$135,Stappen!$AA170,FALSE)</f>
        <v>0</v>
      </c>
      <c r="BC170" s="35">
        <f>HLOOKUP(BC$116+50,Kostengegevens!$AK$74:$BN$135,Stappen!$AA170,FALSE)</f>
        <v>0</v>
      </c>
      <c r="BD170" s="35">
        <f>HLOOKUP(BD$116+50,Kostengegevens!$AK$74:$BN$135,Stappen!$AA170,FALSE)</f>
        <v>0</v>
      </c>
      <c r="BE170" s="3"/>
      <c r="BH170" s="57">
        <v>55</v>
      </c>
      <c r="BI170" s="56"/>
      <c r="BJ170" s="56"/>
      <c r="BK170" s="62"/>
      <c r="BL170" s="61"/>
      <c r="BM170" s="61"/>
      <c r="BN170" s="61"/>
      <c r="BO170" s="61"/>
      <c r="BP170" s="61"/>
      <c r="BR170" s="56"/>
      <c r="BS170" s="56"/>
      <c r="BT170" s="56"/>
      <c r="BU170" s="56"/>
      <c r="BV170" s="56"/>
    </row>
    <row r="171" spans="1:74" x14ac:dyDescent="0.2">
      <c r="A171" s="113"/>
      <c r="B171" s="114">
        <v>70</v>
      </c>
      <c r="C171" s="236" t="s">
        <v>58</v>
      </c>
      <c r="D171" s="191"/>
      <c r="E171" s="244"/>
      <c r="F171" s="127">
        <f>BI171</f>
        <v>150</v>
      </c>
      <c r="G171" s="127"/>
      <c r="H171" s="133" t="s">
        <v>22</v>
      </c>
      <c r="I171" s="128"/>
      <c r="J171" s="134">
        <f t="shared" ref="J171" si="27">HLOOKUP($Z171,$AB$116:$AF$183,$AA171,FALSE)*$F171</f>
        <v>4917.4992000007478</v>
      </c>
      <c r="K171" s="129">
        <f t="shared" si="11"/>
        <v>685.74674999999843</v>
      </c>
      <c r="L171" s="130">
        <f t="shared" si="12"/>
        <v>2317.0766999997795</v>
      </c>
      <c r="M171" s="131">
        <f t="shared" si="13"/>
        <v>37117.436250005267</v>
      </c>
      <c r="N171" s="129">
        <f t="shared" si="14"/>
        <v>497.01419999998961</v>
      </c>
      <c r="O171" s="130">
        <f t="shared" si="15"/>
        <v>475.6234349998067</v>
      </c>
      <c r="T171" s="91" t="str">
        <f>HLOOKUP(Z171,$U$116:$Y$183,AA171,FALSE)</f>
        <v>1 woning: sanitair+keuken basis</v>
      </c>
      <c r="U171" s="263" t="s">
        <v>368</v>
      </c>
      <c r="V171" s="263" t="s">
        <v>369</v>
      </c>
      <c r="W171" s="263" t="s">
        <v>366</v>
      </c>
      <c r="X171" s="263" t="s">
        <v>367</v>
      </c>
      <c r="Y171" s="263" t="s">
        <v>62</v>
      </c>
      <c r="Z171" s="2">
        <f>HLOOKUP(Z$116,$BR$116:$BV$183,BH171,FALSE)</f>
        <v>1</v>
      </c>
      <c r="AA171" s="35">
        <f t="shared" si="16"/>
        <v>56</v>
      </c>
      <c r="AB171" s="35">
        <f>HLOOKUP(AB$116,Kostengegevens!$AK$74:$BN$135,Stappen!$AA171,FALSE)</f>
        <v>32.783328000004985</v>
      </c>
      <c r="AC171" s="35">
        <f>HLOOKUP(AC$116,Kostengegevens!$AK$74:$BN$135,Stappen!$AA171,FALSE)</f>
        <v>32.783328000004985</v>
      </c>
      <c r="AD171" s="35">
        <f>HLOOKUP(AD$116,Kostengegevens!$AK$74:$BN$135,Stappen!$AA171,FALSE)</f>
        <v>32.783328000004985</v>
      </c>
      <c r="AE171" s="35">
        <f>HLOOKUP(AE$116,Kostengegevens!$AK$74:$BN$135,Stappen!$AA171,FALSE)</f>
        <v>32.783327999999528</v>
      </c>
      <c r="AF171" s="3"/>
      <c r="AG171" s="35">
        <f>HLOOKUP(AG$116+10,Kostengegevens!$AK$74:$BN$135,Stappen!$AA171,FALSE)</f>
        <v>4.5716449999999895</v>
      </c>
      <c r="AH171" s="35">
        <f>HLOOKUP(AH$116+10,Kostengegevens!$AK$74:$BN$135,Stappen!$AA171,FALSE)</f>
        <v>4.5716450000018085</v>
      </c>
      <c r="AI171" s="35">
        <f>HLOOKUP(AI$116+10,Kostengegevens!$AK$74:$BN$135,Stappen!$AA171,FALSE)</f>
        <v>4.5716450000018085</v>
      </c>
      <c r="AJ171" s="35">
        <f>HLOOKUP(AJ$116+10,Kostengegevens!$AK$74:$BN$135,Stappen!$AA171,FALSE)</f>
        <v>4.5716450000004443</v>
      </c>
      <c r="AK171" s="3"/>
      <c r="AL171" s="35">
        <f>HLOOKUP(AL$116+20,Kostengegevens!$AK$74:$BN$135,Stappen!$AA171,FALSE)</f>
        <v>15.44717799999853</v>
      </c>
      <c r="AM171" s="35">
        <f>HLOOKUP(AM$116+20,Kostengegevens!$AK$74:$BN$135,Stappen!$AA171,FALSE)</f>
        <v>15.44717799999853</v>
      </c>
      <c r="AN171" s="35">
        <f>HLOOKUP(AN$116+20,Kostengegevens!$AK$74:$BN$135,Stappen!$AA171,FALSE)</f>
        <v>15.44717799999853</v>
      </c>
      <c r="AO171" s="35">
        <f>HLOOKUP(AO$116+20,Kostengegevens!$AK$74:$BN$135,Stappen!$AA171,FALSE)</f>
        <v>15.44717799999944</v>
      </c>
      <c r="AP171" s="3"/>
      <c r="AQ171" s="35">
        <f>HLOOKUP(AQ$116+30,Kostengegevens!$AK$74:$BN$135,Stappen!$AA171,FALSE)</f>
        <v>247.44957500003511</v>
      </c>
      <c r="AR171" s="35">
        <f>HLOOKUP(AR$116+30,Kostengegevens!$AK$74:$BN$135,Stappen!$AA171,FALSE)</f>
        <v>247.44957500003511</v>
      </c>
      <c r="AS171" s="35">
        <f>HLOOKUP(AS$116+30,Kostengegevens!$AK$74:$BN$135,Stappen!$AA171,FALSE)</f>
        <v>247.44957500003511</v>
      </c>
      <c r="AT171" s="35">
        <f>HLOOKUP(AT$116+30,Kostengegevens!$AK$74:$BN$135,Stappen!$AA171,FALSE)</f>
        <v>247.44957499999146</v>
      </c>
      <c r="AU171" s="3"/>
      <c r="AV171" s="35">
        <f>HLOOKUP(AV$116+40,Kostengegevens!$AK$74:$BN$135,Stappen!$AA171,FALSE)</f>
        <v>3.3134279999999308</v>
      </c>
      <c r="AW171" s="35">
        <f>HLOOKUP(AW$116+40,Kostengegevens!$AK$74:$BN$135,Stappen!$AA171,FALSE)</f>
        <v>3.3134279999999308</v>
      </c>
      <c r="AX171" s="35">
        <f>HLOOKUP(AX$116+40,Kostengegevens!$AK$74:$BN$135,Stappen!$AA171,FALSE)</f>
        <v>3.3134280000003855</v>
      </c>
      <c r="AY171" s="35">
        <f>HLOOKUP(AY$116+40,Kostengegevens!$AK$74:$BN$135,Stappen!$AA171,FALSE)</f>
        <v>3.3134279999997034</v>
      </c>
      <c r="AZ171" s="3"/>
      <c r="BA171" s="35">
        <f>HLOOKUP(BA$116+50,Kostengegevens!$AK$74:$BN$135,Stappen!$AA171,FALSE)</f>
        <v>3.1708228999987114</v>
      </c>
      <c r="BB171" s="35">
        <f>HLOOKUP(BB$116+50,Kostengegevens!$AK$74:$BN$135,Stappen!$AA171,FALSE)</f>
        <v>3.1708228999987114</v>
      </c>
      <c r="BC171" s="35">
        <f>HLOOKUP(BC$116+50,Kostengegevens!$AK$74:$BN$135,Stappen!$AA171,FALSE)</f>
        <v>3.1708228999987114</v>
      </c>
      <c r="BD171" s="35">
        <f>HLOOKUP(BD$116+50,Kostengegevens!$AK$74:$BN$135,Stappen!$AA171,FALSE)</f>
        <v>3.1708228999998482</v>
      </c>
      <c r="BE171" s="3"/>
      <c r="BG171" s="2">
        <v>16</v>
      </c>
      <c r="BH171" s="57">
        <v>56</v>
      </c>
      <c r="BI171" s="56">
        <f>BJ171</f>
        <v>150</v>
      </c>
      <c r="BJ171" s="56">
        <f>HLOOKUP(Stappen!BJ$116,Stappen!$BL$116:$BP$178,BH171,FALSE)*VLOOKUP($BG171,Stappen!$BH$24:$BJ$46,3,FALSE)</f>
        <v>150</v>
      </c>
      <c r="BK171" s="62" t="s">
        <v>22</v>
      </c>
      <c r="BL171" s="61">
        <f>Stappen!BL171</f>
        <v>1</v>
      </c>
      <c r="BM171" s="61">
        <f>Stappen!BM171</f>
        <v>1</v>
      </c>
      <c r="BN171" s="61">
        <f>Stappen!BN171</f>
        <v>1</v>
      </c>
      <c r="BO171" s="61">
        <f>Stappen!BO171</f>
        <v>1</v>
      </c>
      <c r="BP171" s="61">
        <f>Stappen!BP171</f>
        <v>1</v>
      </c>
      <c r="BR171" s="56">
        <f>Stappen!BR171</f>
        <v>1</v>
      </c>
      <c r="BS171" s="56">
        <f>Stappen!BS171</f>
        <v>1</v>
      </c>
      <c r="BT171" s="56">
        <f>Stappen!BT171</f>
        <v>3</v>
      </c>
      <c r="BU171" s="56">
        <f>Stappen!BU171</f>
        <v>3</v>
      </c>
      <c r="BV171" s="56">
        <f>Stappen!BV171</f>
        <v>0</v>
      </c>
    </row>
    <row r="172" spans="1:74" x14ac:dyDescent="0.2">
      <c r="A172" s="113"/>
      <c r="B172" s="114"/>
      <c r="C172" s="146" t="s">
        <v>59</v>
      </c>
      <c r="D172" s="191"/>
      <c r="E172" s="133"/>
      <c r="F172" s="133"/>
      <c r="G172" s="133"/>
      <c r="H172" s="133"/>
      <c r="I172" s="128"/>
      <c r="J172" s="134"/>
      <c r="K172" s="129"/>
      <c r="L172" s="130"/>
      <c r="M172" s="131"/>
      <c r="N172" s="129"/>
      <c r="O172" s="130"/>
      <c r="P172" s="84"/>
      <c r="T172" s="91"/>
      <c r="U172" s="263"/>
      <c r="V172" s="263"/>
      <c r="W172" s="263"/>
      <c r="X172" s="263"/>
      <c r="Y172" s="263"/>
      <c r="AA172" s="35">
        <f t="shared" si="16"/>
        <v>57</v>
      </c>
      <c r="AB172" s="35">
        <f>HLOOKUP(AB$116,Kostengegevens!$AK$74:$BN$135,Stappen!$AA172,FALSE)</f>
        <v>0</v>
      </c>
      <c r="AC172" s="35">
        <f>HLOOKUP(AC$116,Kostengegevens!$AK$74:$BN$135,Stappen!$AA172,FALSE)</f>
        <v>0</v>
      </c>
      <c r="AD172" s="35">
        <f>HLOOKUP(AD$116,Kostengegevens!$AK$74:$BN$135,Stappen!$AA172,FALSE)</f>
        <v>0</v>
      </c>
      <c r="AE172" s="35">
        <f>HLOOKUP(AE$116,Kostengegevens!$AK$74:$BN$135,Stappen!$AA172,FALSE)</f>
        <v>0</v>
      </c>
      <c r="AF172" s="3"/>
      <c r="AG172" s="35">
        <f>HLOOKUP(AG$116+10,Kostengegevens!$AK$74:$BN$135,Stappen!$AA172,FALSE)</f>
        <v>0</v>
      </c>
      <c r="AH172" s="35">
        <f>HLOOKUP(AH$116+10,Kostengegevens!$AK$74:$BN$135,Stappen!$AA172,FALSE)</f>
        <v>0</v>
      </c>
      <c r="AI172" s="35">
        <f>HLOOKUP(AI$116+10,Kostengegevens!$AK$74:$BN$135,Stappen!$AA172,FALSE)</f>
        <v>0</v>
      </c>
      <c r="AJ172" s="35">
        <f>HLOOKUP(AJ$116+10,Kostengegevens!$AK$74:$BN$135,Stappen!$AA172,FALSE)</f>
        <v>0</v>
      </c>
      <c r="AK172" s="3"/>
      <c r="AL172" s="35">
        <f>HLOOKUP(AL$116+20,Kostengegevens!$AK$74:$BN$135,Stappen!$AA172,FALSE)</f>
        <v>0</v>
      </c>
      <c r="AM172" s="35">
        <f>HLOOKUP(AM$116+20,Kostengegevens!$AK$74:$BN$135,Stappen!$AA172,FALSE)</f>
        <v>0</v>
      </c>
      <c r="AN172" s="35">
        <f>HLOOKUP(AN$116+20,Kostengegevens!$AK$74:$BN$135,Stappen!$AA172,FALSE)</f>
        <v>0</v>
      </c>
      <c r="AO172" s="35">
        <f>HLOOKUP(AO$116+20,Kostengegevens!$AK$74:$BN$135,Stappen!$AA172,FALSE)</f>
        <v>0</v>
      </c>
      <c r="AP172" s="3"/>
      <c r="AQ172" s="35">
        <f>HLOOKUP(AQ$116+30,Kostengegevens!$AK$74:$BN$135,Stappen!$AA172,FALSE)</f>
        <v>0</v>
      </c>
      <c r="AR172" s="35">
        <f>HLOOKUP(AR$116+30,Kostengegevens!$AK$74:$BN$135,Stappen!$AA172,FALSE)</f>
        <v>0</v>
      </c>
      <c r="AS172" s="35">
        <f>HLOOKUP(AS$116+30,Kostengegevens!$AK$74:$BN$135,Stappen!$AA172,FALSE)</f>
        <v>0</v>
      </c>
      <c r="AT172" s="35">
        <f>HLOOKUP(AT$116+30,Kostengegevens!$AK$74:$BN$135,Stappen!$AA172,FALSE)</f>
        <v>0</v>
      </c>
      <c r="AU172" s="3"/>
      <c r="AV172" s="35">
        <f>HLOOKUP(AV$116+40,Kostengegevens!$AK$74:$BN$135,Stappen!$AA172,FALSE)</f>
        <v>0</v>
      </c>
      <c r="AW172" s="35">
        <f>HLOOKUP(AW$116+40,Kostengegevens!$AK$74:$BN$135,Stappen!$AA172,FALSE)</f>
        <v>0</v>
      </c>
      <c r="AX172" s="35">
        <f>HLOOKUP(AX$116+40,Kostengegevens!$AK$74:$BN$135,Stappen!$AA172,FALSE)</f>
        <v>0</v>
      </c>
      <c r="AY172" s="35">
        <f>HLOOKUP(AY$116+40,Kostengegevens!$AK$74:$BN$135,Stappen!$AA172,FALSE)</f>
        <v>0</v>
      </c>
      <c r="AZ172" s="3"/>
      <c r="BA172" s="35">
        <f>HLOOKUP(BA$116+50,Kostengegevens!$AK$74:$BN$135,Stappen!$AA172,FALSE)</f>
        <v>0</v>
      </c>
      <c r="BB172" s="35">
        <f>HLOOKUP(BB$116+50,Kostengegevens!$AK$74:$BN$135,Stappen!$AA172,FALSE)</f>
        <v>0</v>
      </c>
      <c r="BC172" s="35">
        <f>HLOOKUP(BC$116+50,Kostengegevens!$AK$74:$BN$135,Stappen!$AA172,FALSE)</f>
        <v>0</v>
      </c>
      <c r="BD172" s="35">
        <f>HLOOKUP(BD$116+50,Kostengegevens!$AK$74:$BN$135,Stappen!$AA172,FALSE)</f>
        <v>0</v>
      </c>
      <c r="BE172" s="3"/>
      <c r="BH172" s="57">
        <v>57</v>
      </c>
      <c r="BI172" s="56"/>
      <c r="BJ172" s="56"/>
      <c r="BK172" s="62"/>
      <c r="BL172" s="61"/>
      <c r="BM172" s="61"/>
      <c r="BN172" s="61"/>
      <c r="BO172" s="61"/>
      <c r="BP172" s="61"/>
      <c r="BR172" s="56"/>
      <c r="BS172" s="56"/>
      <c r="BT172" s="56"/>
      <c r="BU172" s="56"/>
      <c r="BV172" s="56"/>
    </row>
    <row r="173" spans="1:74" x14ac:dyDescent="0.2">
      <c r="A173" s="120" t="s">
        <v>176</v>
      </c>
      <c r="B173" s="114"/>
      <c r="C173" s="235" t="s">
        <v>59</v>
      </c>
      <c r="D173" s="191"/>
      <c r="E173" s="133"/>
      <c r="F173" s="133"/>
      <c r="G173" s="133"/>
      <c r="H173" s="133"/>
      <c r="I173" s="128"/>
      <c r="J173" s="134"/>
      <c r="K173" s="129"/>
      <c r="L173" s="130"/>
      <c r="M173" s="131"/>
      <c r="N173" s="129"/>
      <c r="O173" s="130"/>
      <c r="P173" s="84"/>
      <c r="T173" s="91"/>
      <c r="U173" s="263"/>
      <c r="V173" s="263"/>
      <c r="W173" s="263"/>
      <c r="X173" s="263"/>
      <c r="Y173" s="263"/>
      <c r="AA173" s="35">
        <f t="shared" si="16"/>
        <v>58</v>
      </c>
      <c r="AB173" s="35">
        <f>HLOOKUP(AB$116,Kostengegevens!$AK$74:$BN$135,Stappen!$AA173,FALSE)</f>
        <v>0</v>
      </c>
      <c r="AC173" s="35">
        <f>HLOOKUP(AC$116,Kostengegevens!$AK$74:$BN$135,Stappen!$AA173,FALSE)</f>
        <v>0</v>
      </c>
      <c r="AD173" s="35">
        <f>HLOOKUP(AD$116,Kostengegevens!$AK$74:$BN$135,Stappen!$AA173,FALSE)</f>
        <v>0</v>
      </c>
      <c r="AE173" s="35">
        <f>HLOOKUP(AE$116,Kostengegevens!$AK$74:$BN$135,Stappen!$AA173,FALSE)</f>
        <v>0</v>
      </c>
      <c r="AF173" s="3"/>
      <c r="AG173" s="35">
        <f>HLOOKUP(AG$116+10,Kostengegevens!$AK$74:$BN$135,Stappen!$AA173,FALSE)</f>
        <v>0</v>
      </c>
      <c r="AH173" s="35">
        <f>HLOOKUP(AH$116+10,Kostengegevens!$AK$74:$BN$135,Stappen!$AA173,FALSE)</f>
        <v>0</v>
      </c>
      <c r="AI173" s="35">
        <f>HLOOKUP(AI$116+10,Kostengegevens!$AK$74:$BN$135,Stappen!$AA173,FALSE)</f>
        <v>0</v>
      </c>
      <c r="AJ173" s="35">
        <f>HLOOKUP(AJ$116+10,Kostengegevens!$AK$74:$BN$135,Stappen!$AA173,FALSE)</f>
        <v>0</v>
      </c>
      <c r="AK173" s="3"/>
      <c r="AL173" s="35">
        <f>HLOOKUP(AL$116+20,Kostengegevens!$AK$74:$BN$135,Stappen!$AA173,FALSE)</f>
        <v>0</v>
      </c>
      <c r="AM173" s="35">
        <f>HLOOKUP(AM$116+20,Kostengegevens!$AK$74:$BN$135,Stappen!$AA173,FALSE)</f>
        <v>0</v>
      </c>
      <c r="AN173" s="35">
        <f>HLOOKUP(AN$116+20,Kostengegevens!$AK$74:$BN$135,Stappen!$AA173,FALSE)</f>
        <v>0</v>
      </c>
      <c r="AO173" s="35">
        <f>HLOOKUP(AO$116+20,Kostengegevens!$AK$74:$BN$135,Stappen!$AA173,FALSE)</f>
        <v>0</v>
      </c>
      <c r="AP173" s="3"/>
      <c r="AQ173" s="35">
        <f>HLOOKUP(AQ$116+30,Kostengegevens!$AK$74:$BN$135,Stappen!$AA173,FALSE)</f>
        <v>0</v>
      </c>
      <c r="AR173" s="35">
        <f>HLOOKUP(AR$116+30,Kostengegevens!$AK$74:$BN$135,Stappen!$AA173,FALSE)</f>
        <v>0</v>
      </c>
      <c r="AS173" s="35">
        <f>HLOOKUP(AS$116+30,Kostengegevens!$AK$74:$BN$135,Stappen!$AA173,FALSE)</f>
        <v>0</v>
      </c>
      <c r="AT173" s="35">
        <f>HLOOKUP(AT$116+30,Kostengegevens!$AK$74:$BN$135,Stappen!$AA173,FALSE)</f>
        <v>0</v>
      </c>
      <c r="AU173" s="3"/>
      <c r="AV173" s="35">
        <f>HLOOKUP(AV$116+40,Kostengegevens!$AK$74:$BN$135,Stappen!$AA173,FALSE)</f>
        <v>0</v>
      </c>
      <c r="AW173" s="35">
        <f>HLOOKUP(AW$116+40,Kostengegevens!$AK$74:$BN$135,Stappen!$AA173,FALSE)</f>
        <v>0</v>
      </c>
      <c r="AX173" s="35">
        <f>HLOOKUP(AX$116+40,Kostengegevens!$AK$74:$BN$135,Stappen!$AA173,FALSE)</f>
        <v>0</v>
      </c>
      <c r="AY173" s="35">
        <f>HLOOKUP(AY$116+40,Kostengegevens!$AK$74:$BN$135,Stappen!$AA173,FALSE)</f>
        <v>0</v>
      </c>
      <c r="AZ173" s="3"/>
      <c r="BA173" s="35">
        <f>HLOOKUP(BA$116+50,Kostengegevens!$AK$74:$BN$135,Stappen!$AA173,FALSE)</f>
        <v>0</v>
      </c>
      <c r="BB173" s="35">
        <f>HLOOKUP(BB$116+50,Kostengegevens!$AK$74:$BN$135,Stappen!$AA173,FALSE)</f>
        <v>0</v>
      </c>
      <c r="BC173" s="35">
        <f>HLOOKUP(BC$116+50,Kostengegevens!$AK$74:$BN$135,Stappen!$AA173,FALSE)</f>
        <v>0</v>
      </c>
      <c r="BD173" s="35">
        <f>HLOOKUP(BD$116+50,Kostengegevens!$AK$74:$BN$135,Stappen!$AA173,FALSE)</f>
        <v>0</v>
      </c>
      <c r="BE173" s="3"/>
      <c r="BH173" s="57">
        <v>58</v>
      </c>
      <c r="BI173" s="56"/>
      <c r="BJ173" s="56"/>
      <c r="BK173" s="62"/>
      <c r="BL173" s="61"/>
      <c r="BM173" s="61"/>
      <c r="BN173" s="61"/>
      <c r="BO173" s="61"/>
      <c r="BP173" s="61"/>
      <c r="BR173" s="56"/>
      <c r="BS173" s="56"/>
      <c r="BT173" s="56"/>
      <c r="BU173" s="56"/>
      <c r="BV173" s="56"/>
    </row>
    <row r="174" spans="1:74" x14ac:dyDescent="0.2">
      <c r="A174" s="113"/>
      <c r="B174" s="114">
        <v>90</v>
      </c>
      <c r="C174" s="236" t="s">
        <v>59</v>
      </c>
      <c r="D174" s="191"/>
      <c r="E174" s="244"/>
      <c r="F174" s="127">
        <f>BI174</f>
        <v>159.81308411214954</v>
      </c>
      <c r="G174" s="127"/>
      <c r="H174" s="133" t="s">
        <v>22</v>
      </c>
      <c r="I174" s="128"/>
      <c r="J174" s="134">
        <f t="shared" ref="J174" si="28">HLOOKUP($Z174,$AB$116:$AF$183,$AA174,FALSE)*$F174</f>
        <v>6837.7481194909151</v>
      </c>
      <c r="K174" s="129">
        <f t="shared" si="11"/>
        <v>1752.8358995322437</v>
      </c>
      <c r="L174" s="130">
        <f t="shared" si="12"/>
        <v>7862.0318411213439</v>
      </c>
      <c r="M174" s="131">
        <f t="shared" si="13"/>
        <v>47874.008245999648</v>
      </c>
      <c r="N174" s="129">
        <f t="shared" si="14"/>
        <v>3991.7643744993911</v>
      </c>
      <c r="O174" s="130">
        <f t="shared" si="15"/>
        <v>1227.4242161215591</v>
      </c>
      <c r="T174" s="91" t="str">
        <f>HLOOKUP(Z174,$U$116:$Y$183,AA174,FALSE)</f>
        <v>3 parkeren:50% verhard+50% tuinaanleg</v>
      </c>
      <c r="U174" s="263" t="s">
        <v>373</v>
      </c>
      <c r="V174" s="263" t="s">
        <v>372</v>
      </c>
      <c r="W174" s="263" t="s">
        <v>371</v>
      </c>
      <c r="X174" s="263" t="s">
        <v>370</v>
      </c>
      <c r="Y174" s="263" t="s">
        <v>62</v>
      </c>
      <c r="Z174" s="2">
        <f>HLOOKUP(Z$116,$BR$116:$BV$183,BH174,FALSE)</f>
        <v>3</v>
      </c>
      <c r="AA174" s="35">
        <f t="shared" si="16"/>
        <v>59</v>
      </c>
      <c r="AB174" s="35">
        <f>HLOOKUP(AB$116,Kostengegevens!$AK$74:$BN$135,Stappen!$AA174,FALSE)</f>
        <v>10.191454285712098</v>
      </c>
      <c r="AC174" s="35">
        <f>HLOOKUP(AC$116,Kostengegevens!$AK$74:$BN$135,Stappen!$AA174,FALSE)</f>
        <v>29.44535928570258</v>
      </c>
      <c r="AD174" s="35">
        <f>HLOOKUP(AD$116,Kostengegevens!$AK$74:$BN$135,Stappen!$AA174,FALSE)</f>
        <v>42.785909285703383</v>
      </c>
      <c r="AE174" s="35">
        <f>HLOOKUP(AE$116,Kostengegevens!$AK$74:$BN$135,Stappen!$AA174,FALSE)</f>
        <v>61.080651785715418</v>
      </c>
      <c r="AF174" s="3"/>
      <c r="AG174" s="35">
        <f>HLOOKUP(AG$116+10,Kostengegevens!$AK$74:$BN$135,Stappen!$AA174,FALSE)</f>
        <v>2.9028500000003987</v>
      </c>
      <c r="AH174" s="35">
        <f>HLOOKUP(AH$116+10,Kostengegevens!$AK$74:$BN$135,Stappen!$AA174,FALSE)</f>
        <v>7.6720124999992549</v>
      </c>
      <c r="AI174" s="35">
        <f>HLOOKUP(AI$116+10,Kostengegevens!$AK$74:$BN$135,Stappen!$AA174,FALSE)</f>
        <v>10.968037499997081</v>
      </c>
      <c r="AJ174" s="35">
        <f>HLOOKUP(AJ$116+10,Kostengegevens!$AK$74:$BN$135,Stappen!$AA174,FALSE)</f>
        <v>15.368068749999566</v>
      </c>
      <c r="AK174" s="3"/>
      <c r="AL174" s="35">
        <f>HLOOKUP(AL$116+20,Kostengegevens!$AK$74:$BN$135,Stappen!$AA174,FALSE)</f>
        <v>12.621989999999641</v>
      </c>
      <c r="AM174" s="35">
        <f>HLOOKUP(AM$116+20,Kostengegevens!$AK$74:$BN$135,Stappen!$AA174,FALSE)</f>
        <v>35.471645000001445</v>
      </c>
      <c r="AN174" s="35">
        <f>HLOOKUP(AN$116+20,Kostengegevens!$AK$74:$BN$135,Stappen!$AA174,FALSE)</f>
        <v>49.195169999999052</v>
      </c>
      <c r="AO174" s="35">
        <f>HLOOKUP(AO$116+20,Kostengegevens!$AK$74:$BN$135,Stappen!$AA174,FALSE)</f>
        <v>64.970452500000647</v>
      </c>
      <c r="AP174" s="3"/>
      <c r="AQ174" s="35">
        <f>HLOOKUP(AQ$116+30,Kostengegevens!$AK$74:$BN$135,Stappen!$AA174,FALSE)</f>
        <v>83.778995238069911</v>
      </c>
      <c r="AR174" s="35">
        <f>HLOOKUP(AR$116+30,Kostengegevens!$AK$74:$BN$135,Stappen!$AA174,FALSE)</f>
        <v>201.8403077381663</v>
      </c>
      <c r="AS174" s="35">
        <f>HLOOKUP(AS$116+30,Kostengegevens!$AK$74:$BN$135,Stappen!$AA174,FALSE)</f>
        <v>299.56250773812644</v>
      </c>
      <c r="AT174" s="35">
        <f>HLOOKUP(AT$116+30,Kostengegevens!$AK$74:$BN$135,Stappen!$AA174,FALSE)</f>
        <v>467.14867648808286</v>
      </c>
      <c r="AU174" s="3"/>
      <c r="AV174" s="35">
        <f>HLOOKUP(AV$116+40,Kostengegevens!$AK$74:$BN$135,Stappen!$AA174,FALSE)</f>
        <v>6.1075019047616479</v>
      </c>
      <c r="AW174" s="35">
        <f>HLOOKUP(AW$116+40,Kostengegevens!$AK$74:$BN$135,Stappen!$AA174,FALSE)</f>
        <v>16.893381904761554</v>
      </c>
      <c r="AX174" s="35">
        <f>HLOOKUP(AX$116+40,Kostengegevens!$AK$74:$BN$135,Stappen!$AA174,FALSE)</f>
        <v>24.977706904762272</v>
      </c>
      <c r="AY174" s="35">
        <f>HLOOKUP(AY$116+40,Kostengegevens!$AK$74:$BN$135,Stappen!$AA174,FALSE)</f>
        <v>28.176204404761393</v>
      </c>
      <c r="AZ174" s="3"/>
      <c r="BA174" s="35">
        <f>HLOOKUP(BA$116+50,Kostengegevens!$AK$74:$BN$135,Stappen!$AA174,FALSE)</f>
        <v>2.1759499999998297</v>
      </c>
      <c r="BB174" s="35">
        <f>HLOOKUP(BB$116+50,Kostengegevens!$AK$74:$BN$135,Stappen!$AA174,FALSE)</f>
        <v>7.1018737499998679</v>
      </c>
      <c r="BC174" s="35">
        <f>HLOOKUP(BC$116+50,Kostengegevens!$AK$74:$BN$135,Stappen!$AA174,FALSE)</f>
        <v>7.680373750000399</v>
      </c>
      <c r="BD174" s="35">
        <f>HLOOKUP(BD$116+50,Kostengegevens!$AK$74:$BN$135,Stappen!$AA174,FALSE)</f>
        <v>11.202655625000034</v>
      </c>
      <c r="BE174" s="3"/>
      <c r="BG174" s="2">
        <v>18</v>
      </c>
      <c r="BH174" s="57">
        <v>59</v>
      </c>
      <c r="BI174" s="56">
        <f>BJ174</f>
        <v>159.81308411214954</v>
      </c>
      <c r="BJ174" s="56">
        <f>HLOOKUP(Stappen!BJ$116,Stappen!$BL$116:$BP$178,BH174,FALSE)*VLOOKUP($BG174,Stappen!$BH$24:$BJ$46,3,FALSE)</f>
        <v>159.81308411214954</v>
      </c>
      <c r="BK174" s="62" t="s">
        <v>22</v>
      </c>
      <c r="BL174" s="61">
        <f>Stappen!BL174</f>
        <v>1</v>
      </c>
      <c r="BM174" s="61">
        <f>Stappen!BM174</f>
        <v>1</v>
      </c>
      <c r="BN174" s="61">
        <f>Stappen!BN174</f>
        <v>1</v>
      </c>
      <c r="BO174" s="61">
        <f>Stappen!BO174</f>
        <v>1</v>
      </c>
      <c r="BP174" s="61">
        <f>Stappen!BP174</f>
        <v>1</v>
      </c>
      <c r="BR174" s="56">
        <f>Stappen!BR174</f>
        <v>1</v>
      </c>
      <c r="BS174" s="56">
        <f>Stappen!BS174</f>
        <v>3</v>
      </c>
      <c r="BT174" s="56">
        <f>Stappen!BT174</f>
        <v>4</v>
      </c>
      <c r="BU174" s="56">
        <f>Stappen!BU174</f>
        <v>4</v>
      </c>
      <c r="BV174" s="56">
        <f>Stappen!BV174</f>
        <v>0</v>
      </c>
    </row>
    <row r="175" spans="1:74" x14ac:dyDescent="0.2">
      <c r="A175" s="113"/>
      <c r="B175" s="114"/>
      <c r="C175" s="146" t="s">
        <v>236</v>
      </c>
      <c r="D175" s="191"/>
      <c r="E175" s="133"/>
      <c r="F175" s="133"/>
      <c r="G175" s="133"/>
      <c r="H175" s="133"/>
      <c r="I175" s="128"/>
      <c r="J175" s="134"/>
      <c r="K175" s="129"/>
      <c r="L175" s="130"/>
      <c r="M175" s="131"/>
      <c r="N175" s="129"/>
      <c r="O175" s="130"/>
      <c r="P175" s="84"/>
      <c r="T175" s="91"/>
      <c r="U175" s="263"/>
      <c r="V175" s="263"/>
      <c r="W175" s="263"/>
      <c r="X175" s="263"/>
      <c r="Y175" s="263"/>
      <c r="AA175" s="35">
        <f t="shared" si="16"/>
        <v>60</v>
      </c>
      <c r="AB175" s="35">
        <f>HLOOKUP(AB$116,Kostengegevens!$AK$74:$BN$135,Stappen!$AA175,FALSE)</f>
        <v>0</v>
      </c>
      <c r="AC175" s="35">
        <f>HLOOKUP(AC$116,Kostengegevens!$AK$74:$BN$135,Stappen!$AA175,FALSE)</f>
        <v>0</v>
      </c>
      <c r="AD175" s="35">
        <f>HLOOKUP(AD$116,Kostengegevens!$AK$74:$BN$135,Stappen!$AA175,FALSE)</f>
        <v>0</v>
      </c>
      <c r="AE175" s="35">
        <f>HLOOKUP(AE$116,Kostengegevens!$AK$74:$BN$135,Stappen!$AA175,FALSE)</f>
        <v>0</v>
      </c>
      <c r="AF175" s="3"/>
      <c r="AG175" s="35">
        <f>HLOOKUP(AG$116+10,Kostengegevens!$AK$74:$BN$135,Stappen!$AA175,FALSE)</f>
        <v>0</v>
      </c>
      <c r="AH175" s="35">
        <f>HLOOKUP(AH$116+10,Kostengegevens!$AK$74:$BN$135,Stappen!$AA175,FALSE)</f>
        <v>0</v>
      </c>
      <c r="AI175" s="35">
        <f>HLOOKUP(AI$116+10,Kostengegevens!$AK$74:$BN$135,Stappen!$AA175,FALSE)</f>
        <v>0</v>
      </c>
      <c r="AJ175" s="35">
        <f>HLOOKUP(AJ$116+10,Kostengegevens!$AK$74:$BN$135,Stappen!$AA175,FALSE)</f>
        <v>0</v>
      </c>
      <c r="AK175" s="3"/>
      <c r="AL175" s="35">
        <f>HLOOKUP(AL$116+20,Kostengegevens!$AK$74:$BN$135,Stappen!$AA175,FALSE)</f>
        <v>0</v>
      </c>
      <c r="AM175" s="35">
        <f>HLOOKUP(AM$116+20,Kostengegevens!$AK$74:$BN$135,Stappen!$AA175,FALSE)</f>
        <v>0</v>
      </c>
      <c r="AN175" s="35">
        <f>HLOOKUP(AN$116+20,Kostengegevens!$AK$74:$BN$135,Stappen!$AA175,FALSE)</f>
        <v>0</v>
      </c>
      <c r="AO175" s="35">
        <f>HLOOKUP(AO$116+20,Kostengegevens!$AK$74:$BN$135,Stappen!$AA175,FALSE)</f>
        <v>0</v>
      </c>
      <c r="AP175" s="3"/>
      <c r="AQ175" s="35">
        <f>HLOOKUP(AQ$116+30,Kostengegevens!$AK$74:$BN$135,Stappen!$AA175,FALSE)</f>
        <v>0</v>
      </c>
      <c r="AR175" s="35">
        <f>HLOOKUP(AR$116+30,Kostengegevens!$AK$74:$BN$135,Stappen!$AA175,FALSE)</f>
        <v>0</v>
      </c>
      <c r="AS175" s="35">
        <f>HLOOKUP(AS$116+30,Kostengegevens!$AK$74:$BN$135,Stappen!$AA175,FALSE)</f>
        <v>0</v>
      </c>
      <c r="AT175" s="35">
        <f>HLOOKUP(AT$116+30,Kostengegevens!$AK$74:$BN$135,Stappen!$AA175,FALSE)</f>
        <v>0</v>
      </c>
      <c r="AU175" s="3"/>
      <c r="AV175" s="35">
        <f>HLOOKUP(AV$116+40,Kostengegevens!$AK$74:$BN$135,Stappen!$AA175,FALSE)</f>
        <v>0</v>
      </c>
      <c r="AW175" s="35">
        <f>HLOOKUP(AW$116+40,Kostengegevens!$AK$74:$BN$135,Stappen!$AA175,FALSE)</f>
        <v>0</v>
      </c>
      <c r="AX175" s="35">
        <f>HLOOKUP(AX$116+40,Kostengegevens!$AK$74:$BN$135,Stappen!$AA175,FALSE)</f>
        <v>0</v>
      </c>
      <c r="AY175" s="35">
        <f>HLOOKUP(AY$116+40,Kostengegevens!$AK$74:$BN$135,Stappen!$AA175,FALSE)</f>
        <v>0</v>
      </c>
      <c r="AZ175" s="3"/>
      <c r="BA175" s="35">
        <f>HLOOKUP(BA$116+50,Kostengegevens!$AK$74:$BN$135,Stappen!$AA175,FALSE)</f>
        <v>0</v>
      </c>
      <c r="BB175" s="35">
        <f>HLOOKUP(BB$116+50,Kostengegevens!$AK$74:$BN$135,Stappen!$AA175,FALSE)</f>
        <v>0</v>
      </c>
      <c r="BC175" s="35">
        <f>HLOOKUP(BC$116+50,Kostengegevens!$AK$74:$BN$135,Stappen!$AA175,FALSE)</f>
        <v>0</v>
      </c>
      <c r="BD175" s="35">
        <f>HLOOKUP(BD$116+50,Kostengegevens!$AK$74:$BN$135,Stappen!$AA175,FALSE)</f>
        <v>0</v>
      </c>
      <c r="BE175" s="3"/>
      <c r="BH175" s="57">
        <v>60</v>
      </c>
      <c r="BI175" s="56"/>
      <c r="BJ175" s="58"/>
      <c r="BK175" s="63"/>
      <c r="BL175" s="61"/>
      <c r="BM175" s="61"/>
      <c r="BN175" s="61"/>
      <c r="BO175" s="61"/>
      <c r="BP175" s="61"/>
      <c r="BR175" s="56"/>
      <c r="BS175" s="56"/>
      <c r="BT175" s="56"/>
      <c r="BU175" s="56"/>
      <c r="BV175" s="56"/>
    </row>
    <row r="176" spans="1:74" x14ac:dyDescent="0.2">
      <c r="A176" s="120" t="s">
        <v>177</v>
      </c>
      <c r="B176" s="114"/>
      <c r="C176" s="235" t="s">
        <v>236</v>
      </c>
      <c r="D176" s="191"/>
      <c r="E176" s="133"/>
      <c r="F176" s="133"/>
      <c r="G176" s="133"/>
      <c r="H176" s="133"/>
      <c r="I176" s="128"/>
      <c r="J176" s="134"/>
      <c r="K176" s="129"/>
      <c r="L176" s="130"/>
      <c r="M176" s="131"/>
      <c r="N176" s="129"/>
      <c r="O176" s="130"/>
      <c r="P176" s="84"/>
      <c r="T176" s="91"/>
      <c r="U176" s="263"/>
      <c r="V176" s="263"/>
      <c r="W176" s="263"/>
      <c r="X176" s="263"/>
      <c r="Y176" s="263"/>
      <c r="AA176" s="35">
        <f t="shared" si="16"/>
        <v>61</v>
      </c>
      <c r="AB176" s="35">
        <f>HLOOKUP(AB$116,Kostengegevens!$AK$74:$BN$135,Stappen!$AA176,FALSE)</f>
        <v>0</v>
      </c>
      <c r="AC176" s="35">
        <f>HLOOKUP(AC$116,Kostengegevens!$AK$74:$BN$135,Stappen!$AA176,FALSE)</f>
        <v>0</v>
      </c>
      <c r="AD176" s="35">
        <f>HLOOKUP(AD$116,Kostengegevens!$AK$74:$BN$135,Stappen!$AA176,FALSE)</f>
        <v>0</v>
      </c>
      <c r="AE176" s="35">
        <f>HLOOKUP(AE$116,Kostengegevens!$AK$74:$BN$135,Stappen!$AA176,FALSE)</f>
        <v>0</v>
      </c>
      <c r="AF176" s="3"/>
      <c r="AG176" s="35">
        <f>HLOOKUP(AG$116+10,Kostengegevens!$AK$74:$BN$135,Stappen!$AA176,FALSE)</f>
        <v>0</v>
      </c>
      <c r="AH176" s="35">
        <f>HLOOKUP(AH$116+10,Kostengegevens!$AK$74:$BN$135,Stappen!$AA176,FALSE)</f>
        <v>0</v>
      </c>
      <c r="AI176" s="35">
        <f>HLOOKUP(AI$116+10,Kostengegevens!$AK$74:$BN$135,Stappen!$AA176,FALSE)</f>
        <v>0</v>
      </c>
      <c r="AJ176" s="35">
        <f>HLOOKUP(AJ$116+10,Kostengegevens!$AK$74:$BN$135,Stappen!$AA176,FALSE)</f>
        <v>0</v>
      </c>
      <c r="AK176" s="3"/>
      <c r="AL176" s="35">
        <f>HLOOKUP(AL$116+20,Kostengegevens!$AK$74:$BN$135,Stappen!$AA176,FALSE)</f>
        <v>0</v>
      </c>
      <c r="AM176" s="35">
        <f>HLOOKUP(AM$116+20,Kostengegevens!$AK$74:$BN$135,Stappen!$AA176,FALSE)</f>
        <v>0</v>
      </c>
      <c r="AN176" s="35">
        <f>HLOOKUP(AN$116+20,Kostengegevens!$AK$74:$BN$135,Stappen!$AA176,FALSE)</f>
        <v>0</v>
      </c>
      <c r="AO176" s="35">
        <f>HLOOKUP(AO$116+20,Kostengegevens!$AK$74:$BN$135,Stappen!$AA176,FALSE)</f>
        <v>0</v>
      </c>
      <c r="AP176" s="3"/>
      <c r="AQ176" s="35">
        <f>HLOOKUP(AQ$116+30,Kostengegevens!$AK$74:$BN$135,Stappen!$AA176,FALSE)</f>
        <v>0</v>
      </c>
      <c r="AR176" s="35">
        <f>HLOOKUP(AR$116+30,Kostengegevens!$AK$74:$BN$135,Stappen!$AA176,FALSE)</f>
        <v>0</v>
      </c>
      <c r="AS176" s="35">
        <f>HLOOKUP(AS$116+30,Kostengegevens!$AK$74:$BN$135,Stappen!$AA176,FALSE)</f>
        <v>0</v>
      </c>
      <c r="AT176" s="35">
        <f>HLOOKUP(AT$116+30,Kostengegevens!$AK$74:$BN$135,Stappen!$AA176,FALSE)</f>
        <v>0</v>
      </c>
      <c r="AU176" s="3"/>
      <c r="AV176" s="35">
        <f>HLOOKUP(AV$116+40,Kostengegevens!$AK$74:$BN$135,Stappen!$AA176,FALSE)</f>
        <v>0</v>
      </c>
      <c r="AW176" s="35">
        <f>HLOOKUP(AW$116+40,Kostengegevens!$AK$74:$BN$135,Stappen!$AA176,FALSE)</f>
        <v>0</v>
      </c>
      <c r="AX176" s="35">
        <f>HLOOKUP(AX$116+40,Kostengegevens!$AK$74:$BN$135,Stappen!$AA176,FALSE)</f>
        <v>0</v>
      </c>
      <c r="AY176" s="35">
        <f>HLOOKUP(AY$116+40,Kostengegevens!$AK$74:$BN$135,Stappen!$AA176,FALSE)</f>
        <v>0</v>
      </c>
      <c r="AZ176" s="3"/>
      <c r="BA176" s="35">
        <f>HLOOKUP(BA$116+50,Kostengegevens!$AK$74:$BN$135,Stappen!$AA176,FALSE)</f>
        <v>0</v>
      </c>
      <c r="BB176" s="35">
        <f>HLOOKUP(BB$116+50,Kostengegevens!$AK$74:$BN$135,Stappen!$AA176,FALSE)</f>
        <v>0</v>
      </c>
      <c r="BC176" s="35">
        <f>HLOOKUP(BC$116+50,Kostengegevens!$AK$74:$BN$135,Stappen!$AA176,FALSE)</f>
        <v>0</v>
      </c>
      <c r="BD176" s="35">
        <f>HLOOKUP(BD$116+50,Kostengegevens!$AK$74:$BN$135,Stappen!$AA176,FALSE)</f>
        <v>0</v>
      </c>
      <c r="BE176" s="3"/>
      <c r="BH176" s="57">
        <v>61</v>
      </c>
      <c r="BI176" s="56"/>
      <c r="BJ176" s="56"/>
      <c r="BK176" s="62"/>
      <c r="BL176" s="61"/>
      <c r="BM176" s="61"/>
      <c r="BN176" s="61"/>
      <c r="BO176" s="61"/>
      <c r="BP176" s="61"/>
      <c r="BR176" s="56"/>
      <c r="BS176" s="56"/>
      <c r="BT176" s="56"/>
      <c r="BU176" s="56"/>
      <c r="BV176" s="56"/>
    </row>
    <row r="177" spans="1:81" x14ac:dyDescent="0.2">
      <c r="A177" s="113"/>
      <c r="B177" s="114">
        <v>99</v>
      </c>
      <c r="C177" s="236" t="s">
        <v>236</v>
      </c>
      <c r="D177" s="191"/>
      <c r="E177" s="244"/>
      <c r="F177" s="127">
        <f>BI177</f>
        <v>150</v>
      </c>
      <c r="G177" s="127"/>
      <c r="H177" s="133" t="s">
        <v>22</v>
      </c>
      <c r="I177" s="128"/>
      <c r="J177" s="134">
        <f>SUM(J117:J175)*HLOOKUP($Z177,$AB$116:$AF$183,$AA177,FALSE)</f>
        <v>2517.4691726683195</v>
      </c>
      <c r="K177" s="129">
        <f>SUM(K117:K175)*HLOOKUP($Z177,$AB$116:$AF$183,$AA177,FALSE)</f>
        <v>562.82875331056755</v>
      </c>
      <c r="L177" s="130">
        <f t="shared" ref="L177:O177" si="29">SUM(L117:L175)*HLOOKUP($Z177,$AB$116:$AF$183,$AA177,FALSE)</f>
        <v>1778.5662956187132</v>
      </c>
      <c r="M177" s="131">
        <f t="shared" si="29"/>
        <v>19209.60775720387</v>
      </c>
      <c r="N177" s="129">
        <f t="shared" si="29"/>
        <v>537.49776248125193</v>
      </c>
      <c r="O177" s="130">
        <f t="shared" si="29"/>
        <v>341.08797678672323</v>
      </c>
      <c r="T177" s="91" t="str">
        <f>HLOOKUP(Z177,$U$116:$Y$183,AA177,FALSE)</f>
        <v>1 bouwk.en install.; post 2%</v>
      </c>
      <c r="U177" s="263" t="s">
        <v>341</v>
      </c>
      <c r="V177" s="263" t="s">
        <v>342</v>
      </c>
      <c r="W177" s="263" t="s">
        <v>343</v>
      </c>
      <c r="X177" s="263" t="s">
        <v>344</v>
      </c>
      <c r="Y177" s="263" t="s">
        <v>62</v>
      </c>
      <c r="Z177" s="2">
        <f>HLOOKUP(Z$116,$BR$116:$BV$183,BH177,FALSE)</f>
        <v>2</v>
      </c>
      <c r="AA177" s="35">
        <f t="shared" si="16"/>
        <v>62</v>
      </c>
      <c r="AB177" s="380">
        <v>0.01</v>
      </c>
      <c r="AC177" s="380">
        <v>0.02</v>
      </c>
      <c r="AD177" s="380">
        <v>0.05</v>
      </c>
      <c r="AE177" s="380">
        <v>0.1</v>
      </c>
      <c r="AF177" s="3"/>
      <c r="AG177" s="380">
        <v>0.01</v>
      </c>
      <c r="AH177" s="380">
        <v>0.02</v>
      </c>
      <c r="AI177" s="380">
        <v>0.05</v>
      </c>
      <c r="AJ177" s="380">
        <v>0.1</v>
      </c>
      <c r="AK177" s="3"/>
      <c r="AL177" s="380">
        <v>0.01</v>
      </c>
      <c r="AM177" s="380">
        <v>0.02</v>
      </c>
      <c r="AN177" s="380">
        <v>0.05</v>
      </c>
      <c r="AO177" s="380">
        <v>0.1</v>
      </c>
      <c r="AP177" s="3"/>
      <c r="AQ177" s="380">
        <v>0.01</v>
      </c>
      <c r="AR177" s="380">
        <v>0.02</v>
      </c>
      <c r="AS177" s="380">
        <v>0.05</v>
      </c>
      <c r="AT177" s="380">
        <v>0.1</v>
      </c>
      <c r="AU177" s="3"/>
      <c r="AV177" s="380">
        <v>0.01</v>
      </c>
      <c r="AW177" s="380">
        <v>0.02</v>
      </c>
      <c r="AX177" s="380">
        <v>0.05</v>
      </c>
      <c r="AY177" s="380">
        <v>0.1</v>
      </c>
      <c r="AZ177" s="3"/>
      <c r="BA177" s="380">
        <v>0.01</v>
      </c>
      <c r="BB177" s="380">
        <v>0.02</v>
      </c>
      <c r="BC177" s="380">
        <v>0.05</v>
      </c>
      <c r="BD177" s="380">
        <v>0.1</v>
      </c>
      <c r="BE177" s="3"/>
      <c r="BG177" s="2">
        <v>20</v>
      </c>
      <c r="BH177" s="57">
        <v>62</v>
      </c>
      <c r="BI177" s="56">
        <f>BJ177</f>
        <v>150</v>
      </c>
      <c r="BJ177" s="56">
        <f>HLOOKUP(Stappen!BJ$116,Stappen!$BL$116:$BP$178,BH177,FALSE)*VLOOKUP($BG177,Stappen!$BH$24:$BJ$46,3,FALSE)</f>
        <v>150</v>
      </c>
      <c r="BK177" s="62" t="s">
        <v>22</v>
      </c>
      <c r="BL177" s="61">
        <f>Stappen!BL177</f>
        <v>1</v>
      </c>
      <c r="BM177" s="61">
        <f>Stappen!BM177</f>
        <v>1</v>
      </c>
      <c r="BN177" s="61">
        <f>Stappen!BN177</f>
        <v>1</v>
      </c>
      <c r="BO177" s="61">
        <f>Stappen!BO177</f>
        <v>1</v>
      </c>
      <c r="BP177" s="61">
        <f>Stappen!BP177</f>
        <v>1</v>
      </c>
      <c r="BR177" s="56">
        <f>Stappen!BR177</f>
        <v>1</v>
      </c>
      <c r="BS177" s="56">
        <f>Stappen!BS177</f>
        <v>2</v>
      </c>
      <c r="BT177" s="56">
        <f>Stappen!BT177</f>
        <v>1</v>
      </c>
      <c r="BU177" s="56">
        <f>Stappen!BU177</f>
        <v>1</v>
      </c>
      <c r="BV177" s="56">
        <f>Stappen!BV177</f>
        <v>0</v>
      </c>
    </row>
    <row r="178" spans="1:81" ht="6" customHeight="1" x14ac:dyDescent="0.2">
      <c r="A178" s="113"/>
      <c r="B178" s="114"/>
      <c r="C178" s="17"/>
      <c r="D178" s="154"/>
      <c r="E178" s="162"/>
      <c r="F178" s="148"/>
      <c r="G178" s="148"/>
      <c r="H178" s="148"/>
      <c r="I178" s="136"/>
      <c r="J178" s="137"/>
      <c r="K178" s="138"/>
      <c r="L178" s="139"/>
      <c r="M178" s="140"/>
      <c r="N178" s="138"/>
      <c r="O178" s="139"/>
      <c r="P178" s="84"/>
      <c r="AA178" s="35"/>
      <c r="AB178" s="35"/>
      <c r="AC178" s="35"/>
      <c r="AD178" s="35"/>
      <c r="AE178" s="35"/>
      <c r="AF178" s="3"/>
      <c r="AG178" s="35"/>
      <c r="AH178" s="35"/>
      <c r="AI178" s="35"/>
      <c r="AJ178" s="35"/>
      <c r="AK178" s="3"/>
      <c r="AL178" s="35"/>
      <c r="AM178" s="35"/>
      <c r="AN178" s="35"/>
      <c r="AO178" s="35"/>
      <c r="AP178" s="3"/>
      <c r="AQ178" s="35"/>
      <c r="AR178" s="35"/>
      <c r="AS178" s="35"/>
      <c r="AT178" s="35"/>
      <c r="AU178" s="3"/>
      <c r="AV178" s="35"/>
      <c r="AW178" s="35"/>
      <c r="AX178" s="35"/>
      <c r="AY178" s="35"/>
      <c r="AZ178" s="3"/>
      <c r="BA178" s="35"/>
      <c r="BB178" s="35"/>
      <c r="BC178" s="35"/>
      <c r="BD178" s="35"/>
      <c r="BE178" s="3"/>
      <c r="BH178" s="57">
        <v>63</v>
      </c>
      <c r="BI178" s="79"/>
    </row>
    <row r="179" spans="1:81" ht="6" customHeight="1" x14ac:dyDescent="0.2">
      <c r="A179" s="113"/>
      <c r="B179" s="114"/>
      <c r="C179" s="203"/>
      <c r="D179" s="203"/>
      <c r="E179" s="150"/>
      <c r="F179" s="150"/>
      <c r="G179" s="115"/>
      <c r="I179" s="203"/>
      <c r="AA179" s="35"/>
      <c r="AB179" s="344"/>
      <c r="AC179" s="344"/>
      <c r="AD179" s="344"/>
      <c r="AE179" s="344"/>
      <c r="AF179" s="345"/>
      <c r="AG179" s="346"/>
      <c r="AH179" s="346"/>
      <c r="AI179" s="346"/>
      <c r="AJ179" s="346"/>
      <c r="AK179" s="347"/>
      <c r="AL179" s="346"/>
      <c r="AM179" s="346"/>
      <c r="AN179" s="346"/>
      <c r="AO179" s="346"/>
      <c r="AP179" s="347"/>
      <c r="AQ179" s="346"/>
      <c r="AR179" s="346"/>
      <c r="AS179" s="346"/>
      <c r="AT179" s="346"/>
      <c r="AU179" s="347"/>
      <c r="AV179" s="346"/>
      <c r="AW179" s="346"/>
      <c r="AX179" s="346"/>
      <c r="AY179" s="346"/>
      <c r="AZ179" s="347"/>
      <c r="BA179" s="346"/>
      <c r="BB179" s="346"/>
      <c r="BC179" s="346"/>
      <c r="BD179" s="346"/>
      <c r="BE179" s="347"/>
      <c r="BH179" s="57">
        <v>64</v>
      </c>
    </row>
    <row r="180" spans="1:81" ht="12.75" customHeight="1" x14ac:dyDescent="0.2">
      <c r="A180" s="113"/>
      <c r="B180" s="114"/>
      <c r="C180" s="241" t="s">
        <v>287</v>
      </c>
      <c r="D180" s="242"/>
      <c r="E180" s="160"/>
      <c r="F180" s="121">
        <f>Stappen!F$13</f>
        <v>150</v>
      </c>
      <c r="G180" s="121"/>
      <c r="H180" s="144" t="s">
        <v>22</v>
      </c>
      <c r="I180" s="173"/>
      <c r="J180" s="158">
        <f t="shared" ref="J180:N180" si="30">SUM(J115:J178)</f>
        <v>128390.92780608429</v>
      </c>
      <c r="K180" s="124">
        <f t="shared" si="30"/>
        <v>28704.266418838943</v>
      </c>
      <c r="L180" s="125">
        <f t="shared" si="30"/>
        <v>90706.881076554375</v>
      </c>
      <c r="M180" s="126">
        <f t="shared" si="30"/>
        <v>979689.99561739736</v>
      </c>
      <c r="N180" s="124">
        <f t="shared" si="30"/>
        <v>27412.385886543849</v>
      </c>
      <c r="O180" s="125">
        <f>SUM(O115:O178)</f>
        <v>17395.486816122884</v>
      </c>
      <c r="Z180" s="227"/>
      <c r="AA180" s="35"/>
      <c r="AB180" s="35"/>
      <c r="AC180" s="35"/>
      <c r="AD180" s="35"/>
      <c r="AE180" s="35"/>
      <c r="AF180" s="227"/>
      <c r="AG180" s="35"/>
      <c r="AH180" s="35"/>
      <c r="AI180" s="35"/>
      <c r="AJ180" s="35"/>
      <c r="AK180" s="227"/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27"/>
      <c r="AV180" s="227"/>
      <c r="AW180" s="227"/>
      <c r="AX180" s="227"/>
      <c r="AY180" s="227"/>
      <c r="AZ180" s="227"/>
      <c r="BA180" s="227"/>
      <c r="BB180" s="227"/>
      <c r="BC180" s="227"/>
      <c r="BD180" s="227"/>
      <c r="BE180" s="227"/>
      <c r="BF180" s="227"/>
      <c r="BG180" s="227"/>
      <c r="BH180" s="35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  <c r="BV180" s="227"/>
      <c r="BW180" s="227"/>
      <c r="BX180" s="227"/>
      <c r="BY180" s="227"/>
      <c r="BZ180" s="227"/>
      <c r="CA180" s="227"/>
      <c r="CB180" s="227"/>
      <c r="CC180" s="227"/>
    </row>
    <row r="181" spans="1:81" ht="12.75" customHeight="1" x14ac:dyDescent="0.2">
      <c r="C181" s="241" t="s">
        <v>243</v>
      </c>
      <c r="D181" s="242"/>
      <c r="E181" s="160"/>
      <c r="F181" s="121">
        <f>F180</f>
        <v>150</v>
      </c>
      <c r="G181" s="121"/>
      <c r="H181" s="144" t="s">
        <v>22</v>
      </c>
      <c r="I181" s="173"/>
      <c r="J181" s="158">
        <f>J$46</f>
        <v>11250.000000000002</v>
      </c>
      <c r="K181" s="124">
        <f t="shared" ref="K181:O181" si="31">K$46</f>
        <v>1800.0000000000002</v>
      </c>
      <c r="L181" s="125">
        <f t="shared" si="31"/>
        <v>4769.200395347716</v>
      </c>
      <c r="M181" s="126">
        <f t="shared" si="31"/>
        <v>68834.509291799186</v>
      </c>
      <c r="N181" s="124">
        <f t="shared" si="31"/>
        <v>450.19808854828722</v>
      </c>
      <c r="O181" s="125">
        <f t="shared" si="31"/>
        <v>492.39888334153278</v>
      </c>
      <c r="Z181" s="227"/>
      <c r="AA181" s="35"/>
      <c r="AB181" s="35"/>
      <c r="AC181" s="35"/>
      <c r="AD181" s="35"/>
      <c r="AE181" s="35"/>
      <c r="AF181" s="227"/>
      <c r="AG181" s="35"/>
      <c r="AH181" s="35"/>
      <c r="AI181" s="35"/>
      <c r="AJ181" s="35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27"/>
      <c r="AV181" s="227"/>
      <c r="AW181" s="227"/>
      <c r="AX181" s="227"/>
      <c r="AY181" s="227"/>
      <c r="AZ181" s="227"/>
      <c r="BA181" s="227"/>
      <c r="BB181" s="227"/>
      <c r="BC181" s="227"/>
      <c r="BD181" s="227"/>
      <c r="BE181" s="227"/>
      <c r="BF181" s="227"/>
      <c r="BG181" s="227"/>
      <c r="BH181" s="35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  <c r="BV181" s="227"/>
      <c r="BW181" s="227"/>
      <c r="BX181" s="227"/>
      <c r="BY181" s="227"/>
      <c r="BZ181" s="227"/>
      <c r="CA181" s="227"/>
      <c r="CB181" s="227"/>
      <c r="CC181" s="227"/>
    </row>
    <row r="182" spans="1:81" ht="12.75" customHeight="1" x14ac:dyDescent="0.2">
      <c r="C182" s="145" t="s">
        <v>244</v>
      </c>
      <c r="D182" s="237"/>
      <c r="E182" s="161"/>
      <c r="F182" s="127">
        <f>Stappen!$G$47</f>
        <v>11.28</v>
      </c>
      <c r="G182" s="127"/>
      <c r="H182" s="133" t="s">
        <v>46</v>
      </c>
      <c r="I182" s="18"/>
      <c r="J182" s="134">
        <f>J$47</f>
        <v>15751.496656526309</v>
      </c>
      <c r="K182" s="129">
        <f t="shared" ref="K182:O182" si="32">K$47</f>
        <v>1260.0000000000002</v>
      </c>
      <c r="L182" s="130">
        <f t="shared" si="32"/>
        <v>3338.4402767434012</v>
      </c>
      <c r="M182" s="131">
        <f t="shared" si="32"/>
        <v>48184.15650425943</v>
      </c>
      <c r="N182" s="129">
        <f t="shared" si="32"/>
        <v>315.13866198380111</v>
      </c>
      <c r="O182" s="130">
        <f t="shared" si="32"/>
        <v>344.67921833907297</v>
      </c>
      <c r="Z182" s="227"/>
      <c r="AA182" s="35"/>
      <c r="AB182" s="35"/>
      <c r="AC182" s="35"/>
      <c r="AD182" s="35"/>
      <c r="AE182" s="35"/>
      <c r="AF182" s="227"/>
      <c r="AG182" s="35"/>
      <c r="AH182" s="35"/>
      <c r="AI182" s="35"/>
      <c r="AJ182" s="35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7"/>
      <c r="AW182" s="227"/>
      <c r="AX182" s="227"/>
      <c r="AY182" s="227"/>
      <c r="AZ182" s="227"/>
      <c r="BA182" s="227"/>
      <c r="BB182" s="227"/>
      <c r="BC182" s="227"/>
      <c r="BD182" s="227"/>
      <c r="BE182" s="227"/>
      <c r="BF182" s="227"/>
      <c r="BG182" s="227"/>
      <c r="BH182" s="35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  <c r="BV182" s="227"/>
      <c r="BW182" s="227"/>
      <c r="BX182" s="227"/>
      <c r="BY182" s="227"/>
      <c r="BZ182" s="227"/>
      <c r="CA182" s="227"/>
      <c r="CB182" s="227"/>
      <c r="CC182" s="227"/>
    </row>
    <row r="183" spans="1:81" ht="3.95" customHeight="1" x14ac:dyDescent="0.2">
      <c r="C183" s="145"/>
      <c r="D183" s="237"/>
      <c r="E183" s="161"/>
      <c r="F183" s="127"/>
      <c r="G183" s="127"/>
      <c r="H183" s="133"/>
      <c r="I183" s="174"/>
      <c r="J183" s="240"/>
      <c r="K183" s="129"/>
      <c r="L183" s="130"/>
      <c r="M183" s="131"/>
      <c r="N183" s="129"/>
      <c r="O183" s="130"/>
      <c r="Z183" s="227"/>
      <c r="AA183" s="35"/>
      <c r="AB183" s="34"/>
      <c r="AC183" s="34"/>
      <c r="AD183" s="34"/>
      <c r="AE183" s="34"/>
      <c r="AF183" s="227"/>
      <c r="AG183" s="34"/>
      <c r="AH183" s="34"/>
      <c r="AI183" s="34"/>
      <c r="AJ183" s="34"/>
      <c r="AK183" s="227"/>
      <c r="AL183" s="227"/>
      <c r="AM183" s="227"/>
      <c r="AN183" s="227"/>
      <c r="AO183" s="227"/>
      <c r="AP183" s="227"/>
      <c r="AQ183" s="227"/>
      <c r="AR183" s="227"/>
      <c r="AS183" s="227"/>
      <c r="AT183" s="227"/>
      <c r="AU183" s="227"/>
      <c r="AV183" s="227"/>
      <c r="AW183" s="227"/>
      <c r="AX183" s="227"/>
      <c r="AY183" s="227"/>
      <c r="AZ183" s="227"/>
      <c r="BA183" s="227"/>
      <c r="BB183" s="227"/>
      <c r="BC183" s="227"/>
      <c r="BD183" s="227"/>
      <c r="BE183" s="227"/>
      <c r="BF183" s="227"/>
      <c r="BG183" s="227"/>
      <c r="BH183" s="35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  <c r="BV183" s="227"/>
      <c r="BW183" s="227"/>
      <c r="BX183" s="227"/>
      <c r="BY183" s="227"/>
      <c r="BZ183" s="227"/>
      <c r="CA183" s="227"/>
      <c r="CB183" s="227"/>
      <c r="CC183" s="227"/>
    </row>
    <row r="184" spans="1:81" ht="12.75" customHeight="1" x14ac:dyDescent="0.2">
      <c r="A184" s="1"/>
      <c r="C184" s="143" t="s">
        <v>286</v>
      </c>
      <c r="D184" s="238"/>
      <c r="E184" s="243"/>
      <c r="F184" s="121"/>
      <c r="G184" s="121"/>
      <c r="H184" s="144"/>
      <c r="I184" s="173"/>
      <c r="J184" s="123"/>
      <c r="K184" s="124"/>
      <c r="L184" s="125"/>
      <c r="M184" s="126"/>
      <c r="N184" s="124"/>
      <c r="O184" s="125"/>
      <c r="Z184" s="227"/>
      <c r="AA184" s="227"/>
      <c r="AB184" s="36"/>
      <c r="AC184" s="36"/>
      <c r="AD184" s="36"/>
      <c r="AE184" s="36"/>
      <c r="AF184" s="227"/>
      <c r="AG184" s="36"/>
      <c r="AH184" s="36"/>
      <c r="AI184" s="36"/>
      <c r="AJ184" s="36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27"/>
      <c r="AX184" s="227"/>
      <c r="AY184" s="227"/>
      <c r="AZ184" s="227"/>
      <c r="BA184" s="227"/>
      <c r="BB184" s="227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  <c r="BV184" s="227"/>
      <c r="BW184" s="227"/>
      <c r="BX184" s="227"/>
      <c r="BY184" s="227"/>
      <c r="BZ184" s="227"/>
      <c r="CA184" s="227"/>
      <c r="CB184" s="227"/>
      <c r="CC184" s="227"/>
    </row>
    <row r="185" spans="1:81" ht="12.75" customHeight="1" x14ac:dyDescent="0.2">
      <c r="C185" s="147" t="str">
        <f>CONCATENATE("van referentie ",Stappen!$F$10)</f>
        <v>van referentie (2) appartementen</v>
      </c>
      <c r="D185" s="218"/>
      <c r="E185" s="208"/>
      <c r="F185" s="135">
        <f>F181</f>
        <v>150</v>
      </c>
      <c r="G185" s="135"/>
      <c r="H185" s="148" t="s">
        <v>22</v>
      </c>
      <c r="I185" s="175"/>
      <c r="J185" s="137">
        <f t="shared" ref="J185:O185" si="33">SUM(J180:J182)</f>
        <v>155392.42446261062</v>
      </c>
      <c r="K185" s="411">
        <f>SUM(K180:K182)</f>
        <v>31764.266418838943</v>
      </c>
      <c r="L185" s="412">
        <f>SUM(L180:L182)</f>
        <v>98814.521748645493</v>
      </c>
      <c r="M185" s="413">
        <f t="shared" si="33"/>
        <v>1096708.6614134558</v>
      </c>
      <c r="N185" s="411">
        <f t="shared" si="33"/>
        <v>28177.722637075938</v>
      </c>
      <c r="O185" s="412">
        <f t="shared" si="33"/>
        <v>18232.564917803487</v>
      </c>
      <c r="AB185" s="35"/>
      <c r="AC185" s="35"/>
      <c r="AD185" s="35"/>
      <c r="AE185" s="35"/>
      <c r="AG185" s="35"/>
      <c r="AH185" s="35"/>
      <c r="AI185" s="35"/>
      <c r="AJ185" s="35"/>
    </row>
    <row r="186" spans="1:81" x14ac:dyDescent="0.2">
      <c r="B186" s="2"/>
      <c r="C186" s="2"/>
      <c r="H186" s="2"/>
      <c r="I186" s="2"/>
      <c r="J186" s="2"/>
      <c r="K186" s="2"/>
      <c r="L186" s="2"/>
      <c r="M186" s="2"/>
      <c r="N186" s="2"/>
      <c r="O186" s="2"/>
    </row>
    <row r="187" spans="1:81" ht="15.75" x14ac:dyDescent="0.25">
      <c r="C187" s="112" t="s">
        <v>424</v>
      </c>
      <c r="F187" s="3"/>
      <c r="G187" s="3"/>
      <c r="I187" s="203"/>
    </row>
    <row r="188" spans="1:81" ht="6" customHeight="1" x14ac:dyDescent="0.2">
      <c r="F188" s="3"/>
      <c r="G188" s="3"/>
      <c r="I188" s="203"/>
    </row>
    <row r="189" spans="1:81" x14ac:dyDescent="0.2">
      <c r="C189" s="4" t="s">
        <v>415</v>
      </c>
      <c r="G189" s="3"/>
      <c r="I189" s="203"/>
    </row>
    <row r="190" spans="1:81" x14ac:dyDescent="0.2">
      <c r="C190" s="4" t="s">
        <v>289</v>
      </c>
      <c r="G190" s="3"/>
      <c r="I190" s="203"/>
    </row>
    <row r="191" spans="1:81" x14ac:dyDescent="0.2">
      <c r="C191" s="4" t="s">
        <v>290</v>
      </c>
      <c r="G191" s="3"/>
      <c r="I191" s="203"/>
    </row>
    <row r="192" spans="1:81" x14ac:dyDescent="0.2">
      <c r="G192" s="3"/>
      <c r="I192" s="203"/>
      <c r="T192" s="227"/>
      <c r="U192" s="227"/>
      <c r="V192" s="227"/>
      <c r="W192" s="227"/>
      <c r="X192" s="227"/>
      <c r="Y192" s="227"/>
      <c r="Z192" s="227"/>
      <c r="AA192" s="227"/>
    </row>
    <row r="193" spans="1:74" x14ac:dyDescent="0.2">
      <c r="C193" s="165" t="s">
        <v>48</v>
      </c>
      <c r="D193" s="249" t="s">
        <v>47</v>
      </c>
      <c r="E193" s="250"/>
      <c r="F193" s="246"/>
      <c r="G193" s="117"/>
      <c r="H193" s="201"/>
      <c r="I193" s="118"/>
      <c r="J193" s="414" t="s">
        <v>49</v>
      </c>
      <c r="K193" s="396" t="s">
        <v>37</v>
      </c>
      <c r="L193" s="397" t="s">
        <v>27</v>
      </c>
      <c r="M193" s="398" t="s">
        <v>28</v>
      </c>
      <c r="N193" s="396" t="s">
        <v>35</v>
      </c>
      <c r="O193" s="397" t="s">
        <v>36</v>
      </c>
      <c r="T193" s="227"/>
      <c r="U193" s="227"/>
      <c r="V193" s="227"/>
      <c r="W193" s="227"/>
      <c r="X193" s="227"/>
      <c r="Y193" s="227"/>
      <c r="Z193" s="227"/>
      <c r="AA193" s="227"/>
      <c r="AB193" s="228"/>
      <c r="AC193" s="229"/>
      <c r="AD193" s="229"/>
      <c r="AE193" s="229"/>
      <c r="AF193" s="227"/>
      <c r="AG193" s="228"/>
      <c r="AH193" s="229"/>
      <c r="AI193" s="229"/>
      <c r="AJ193" s="229"/>
      <c r="AK193" s="227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27"/>
      <c r="AY193" s="227"/>
      <c r="AZ193" s="227"/>
      <c r="BA193" s="227"/>
      <c r="BB193" s="227"/>
      <c r="BC193" s="227"/>
      <c r="BD193" s="227"/>
      <c r="BE193" s="227"/>
      <c r="BF193" s="230"/>
      <c r="BG193" s="230"/>
      <c r="BH193" s="227"/>
      <c r="BI193" s="230"/>
      <c r="BJ193" s="231"/>
      <c r="BK193" s="227"/>
      <c r="BL193" s="232"/>
      <c r="BM193" s="231"/>
      <c r="BN193" s="231"/>
      <c r="BO193" s="231"/>
      <c r="BP193" s="231"/>
      <c r="BQ193" s="227"/>
      <c r="BR193" s="232"/>
      <c r="BS193" s="231"/>
      <c r="BT193" s="231"/>
      <c r="BU193" s="231"/>
      <c r="BV193" s="72"/>
    </row>
    <row r="194" spans="1:74" x14ac:dyDescent="0.2">
      <c r="C194" s="141" t="str">
        <f>Stappen!$F$11</f>
        <v>2012-07-01 Voorbeeld 1</v>
      </c>
      <c r="D194" s="251" t="s">
        <v>148</v>
      </c>
      <c r="E194" s="252"/>
      <c r="F194" s="223" t="s">
        <v>332</v>
      </c>
      <c r="G194" s="142"/>
      <c r="H194" s="202"/>
      <c r="I194" s="119"/>
      <c r="J194" s="415" t="s">
        <v>31</v>
      </c>
      <c r="K194" s="400" t="str">
        <f>J194</f>
        <v>€ per 1-1-2011</v>
      </c>
      <c r="L194" s="401" t="s">
        <v>32</v>
      </c>
      <c r="M194" s="402" t="s">
        <v>33</v>
      </c>
      <c r="N194" s="400" t="s">
        <v>34</v>
      </c>
      <c r="O194" s="401" t="str">
        <f>J194</f>
        <v>€ per 1-1-2011</v>
      </c>
      <c r="T194" s="227"/>
      <c r="U194" s="227"/>
      <c r="V194" s="227"/>
      <c r="W194" s="227"/>
      <c r="X194" s="227"/>
      <c r="Y194" s="227"/>
      <c r="Z194" s="227"/>
      <c r="AA194" s="227"/>
      <c r="AB194" s="34"/>
      <c r="AC194" s="34"/>
      <c r="AD194" s="34"/>
      <c r="AE194" s="34"/>
      <c r="AF194" s="227"/>
      <c r="AG194" s="34"/>
      <c r="AH194" s="34"/>
      <c r="AI194" s="34"/>
      <c r="AJ194" s="34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33"/>
      <c r="BK194" s="227"/>
      <c r="BL194" s="233"/>
      <c r="BM194" s="233"/>
      <c r="BN194" s="233"/>
      <c r="BO194" s="233"/>
      <c r="BP194" s="233"/>
      <c r="BQ194" s="227"/>
      <c r="BR194" s="233"/>
      <c r="BS194" s="233"/>
      <c r="BT194" s="233"/>
      <c r="BU194" s="233"/>
      <c r="BV194" s="77"/>
    </row>
    <row r="195" spans="1:74" x14ac:dyDescent="0.2">
      <c r="C195" s="143" t="s">
        <v>234</v>
      </c>
      <c r="D195" s="132"/>
      <c r="E195" s="133"/>
      <c r="F195" s="133"/>
      <c r="G195" s="133"/>
      <c r="H195" s="133"/>
      <c r="I195" s="128"/>
      <c r="J195" s="253"/>
      <c r="K195" s="124"/>
      <c r="L195" s="125"/>
      <c r="M195" s="126"/>
      <c r="N195" s="124"/>
      <c r="O195" s="125"/>
      <c r="T195" s="227"/>
      <c r="U195" s="227"/>
      <c r="V195" s="227"/>
      <c r="W195" s="227"/>
      <c r="X195" s="227"/>
      <c r="Y195" s="227"/>
      <c r="Z195" s="227"/>
      <c r="AA195" s="227"/>
      <c r="AB195" s="34"/>
      <c r="AC195" s="34"/>
      <c r="AD195" s="34"/>
      <c r="AE195" s="34"/>
      <c r="AF195" s="227"/>
      <c r="AG195" s="34"/>
      <c r="AH195" s="34"/>
      <c r="AI195" s="34"/>
      <c r="AJ195" s="34"/>
      <c r="AK195" s="227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27"/>
      <c r="AY195" s="227"/>
      <c r="AZ195" s="227"/>
      <c r="BA195" s="227"/>
      <c r="BB195" s="227"/>
      <c r="BC195" s="227"/>
      <c r="BD195" s="227"/>
      <c r="BE195" s="227"/>
      <c r="BF195" s="227"/>
      <c r="BG195" s="227"/>
      <c r="BH195" s="227"/>
      <c r="BI195" s="227"/>
      <c r="BJ195" s="233"/>
      <c r="BK195" s="227"/>
      <c r="BL195" s="233"/>
      <c r="BM195" s="233"/>
      <c r="BN195" s="233"/>
      <c r="BO195" s="233"/>
      <c r="BP195" s="233"/>
      <c r="BQ195" s="227"/>
      <c r="BR195" s="233"/>
      <c r="BS195" s="233"/>
      <c r="BT195" s="233"/>
      <c r="BU195" s="233"/>
      <c r="BV195" s="77"/>
    </row>
    <row r="196" spans="1:74" x14ac:dyDescent="0.2">
      <c r="A196" s="120" t="s">
        <v>163</v>
      </c>
      <c r="C196" s="235" t="s">
        <v>51</v>
      </c>
      <c r="D196" s="132"/>
      <c r="E196" s="133"/>
      <c r="F196" s="133"/>
      <c r="G196" s="133"/>
      <c r="H196" s="133"/>
      <c r="I196" s="128"/>
      <c r="J196" s="254"/>
      <c r="K196" s="129"/>
      <c r="L196" s="130"/>
      <c r="M196" s="131"/>
      <c r="N196" s="129"/>
      <c r="O196" s="130"/>
      <c r="P196" s="84"/>
      <c r="T196" s="227"/>
      <c r="U196" s="227"/>
      <c r="V196" s="227"/>
      <c r="W196" s="227"/>
      <c r="X196" s="227"/>
      <c r="Y196" s="227"/>
      <c r="Z196" s="227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227"/>
      <c r="BG196" s="227"/>
      <c r="BH196" s="35"/>
      <c r="BI196" s="35"/>
      <c r="BJ196" s="56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74"/>
    </row>
    <row r="197" spans="1:74" x14ac:dyDescent="0.2">
      <c r="A197" s="113"/>
      <c r="B197" s="33">
        <v>11</v>
      </c>
      <c r="C197" s="236" t="s">
        <v>291</v>
      </c>
      <c r="D197" s="145" t="str">
        <f>Referentieproject!T117</f>
        <v>1 gesloten grondbalans (+17%nw.zand)</v>
      </c>
      <c r="E197" s="133"/>
      <c r="F197" s="133"/>
      <c r="G197" s="133"/>
      <c r="H197" s="133"/>
      <c r="I197" s="128"/>
      <c r="J197" s="254">
        <f>Referentieproject!J117</f>
        <v>1067.5288002157124</v>
      </c>
      <c r="K197" s="129">
        <f>Referentieproject!K117</f>
        <v>219.80032710326267</v>
      </c>
      <c r="L197" s="130">
        <f>Referentieproject!L117</f>
        <v>829.51249766372143</v>
      </c>
      <c r="M197" s="131">
        <f>Referentieproject!M117</f>
        <v>5695.5263200553272</v>
      </c>
      <c r="N197" s="129">
        <f>Referentieproject!N117</f>
        <v>479.98127102815556</v>
      </c>
      <c r="O197" s="130">
        <f>Referentieproject!O117</f>
        <v>65.622721962416819</v>
      </c>
      <c r="T197" s="227"/>
      <c r="U197" s="227"/>
      <c r="V197" s="227"/>
      <c r="W197" s="227"/>
      <c r="X197" s="227"/>
      <c r="Y197" s="227"/>
      <c r="Z197" s="227"/>
      <c r="AA197" s="35"/>
      <c r="AB197" s="35"/>
      <c r="AC197" s="35"/>
      <c r="AD197" s="35"/>
      <c r="AE197" s="35"/>
      <c r="AF197" s="227"/>
      <c r="AG197" s="35"/>
      <c r="AH197" s="35"/>
      <c r="AI197" s="35"/>
      <c r="AJ197" s="35"/>
      <c r="AK197" s="227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7"/>
      <c r="AV197" s="227"/>
      <c r="AW197" s="227"/>
      <c r="AX197" s="227"/>
      <c r="AY197" s="227"/>
      <c r="AZ197" s="227"/>
      <c r="BA197" s="227"/>
      <c r="BB197" s="227"/>
      <c r="BC197" s="227"/>
      <c r="BD197" s="227"/>
      <c r="BE197" s="227"/>
      <c r="BF197" s="227"/>
      <c r="BG197" s="227"/>
      <c r="BH197" s="35"/>
      <c r="BI197" s="35"/>
      <c r="BJ197" s="56"/>
      <c r="BK197" s="47"/>
      <c r="BL197" s="234"/>
      <c r="BM197" s="234"/>
      <c r="BN197" s="234"/>
      <c r="BO197" s="234"/>
      <c r="BP197" s="234"/>
      <c r="BQ197" s="227"/>
      <c r="BR197" s="227"/>
      <c r="BS197" s="227"/>
      <c r="BT197" s="227"/>
      <c r="BU197" s="227"/>
    </row>
    <row r="198" spans="1:74" x14ac:dyDescent="0.2">
      <c r="A198" s="113"/>
      <c r="B198" s="33">
        <v>13</v>
      </c>
      <c r="C198" s="236" t="s">
        <v>292</v>
      </c>
      <c r="D198" s="145" t="str">
        <f>Referentieproject!T118</f>
        <v>1 alleen liftput(ten)</v>
      </c>
      <c r="E198" s="133"/>
      <c r="F198" s="133"/>
      <c r="G198" s="133"/>
      <c r="H198" s="133"/>
      <c r="I198" s="128"/>
      <c r="J198" s="254">
        <f>Referentieproject!J118</f>
        <v>657.59332177607848</v>
      </c>
      <c r="K198" s="129">
        <f>Referentieproject!K118</f>
        <v>261.50652757006975</v>
      </c>
      <c r="L198" s="130">
        <f>Referentieproject!L118</f>
        <v>1049.8434563546559</v>
      </c>
      <c r="M198" s="131">
        <f>Referentieproject!M118</f>
        <v>6927.9991584168483</v>
      </c>
      <c r="N198" s="129">
        <f>Referentieproject!N118</f>
        <v>402.17856056067524</v>
      </c>
      <c r="O198" s="130">
        <f>Referentieproject!O118</f>
        <v>342.48942476641503</v>
      </c>
      <c r="T198" s="227"/>
      <c r="U198" s="227"/>
      <c r="V198" s="227"/>
      <c r="W198" s="227"/>
      <c r="X198" s="227"/>
      <c r="Y198" s="227"/>
      <c r="Z198" s="227"/>
      <c r="AA198" s="35"/>
      <c r="AB198" s="35"/>
      <c r="AC198" s="35"/>
      <c r="AD198" s="35"/>
      <c r="AE198" s="35"/>
      <c r="AF198" s="227"/>
      <c r="AG198" s="35"/>
      <c r="AH198" s="35"/>
      <c r="AI198" s="35"/>
      <c r="AJ198" s="35"/>
      <c r="AK198" s="227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27"/>
      <c r="AY198" s="227"/>
      <c r="AZ198" s="227"/>
      <c r="BA198" s="227"/>
      <c r="BB198" s="227"/>
      <c r="BC198" s="227"/>
      <c r="BD198" s="227"/>
      <c r="BE198" s="227"/>
      <c r="BF198" s="227"/>
      <c r="BG198" s="227"/>
      <c r="BH198" s="35"/>
      <c r="BI198" s="35"/>
      <c r="BJ198" s="56"/>
      <c r="BK198" s="47"/>
      <c r="BL198" s="234"/>
      <c r="BM198" s="234"/>
      <c r="BN198" s="234"/>
      <c r="BO198" s="234"/>
      <c r="BP198" s="234"/>
      <c r="BQ198" s="227"/>
      <c r="BR198" s="227"/>
      <c r="BS198" s="227"/>
      <c r="BT198" s="227"/>
      <c r="BU198" s="227"/>
    </row>
    <row r="199" spans="1:74" x14ac:dyDescent="0.2">
      <c r="A199" s="113"/>
      <c r="B199" s="33">
        <v>16</v>
      </c>
      <c r="C199" s="236" t="s">
        <v>293</v>
      </c>
      <c r="D199" s="145" t="str">
        <f>Referentieproject!T119</f>
        <v>3 betonbalken voor paalf.(&gt;3 bouwlagen)</v>
      </c>
      <c r="E199" s="133"/>
      <c r="F199" s="133"/>
      <c r="G199" s="133"/>
      <c r="H199" s="133"/>
      <c r="I199" s="128"/>
      <c r="J199" s="254">
        <f>Referentieproject!J119</f>
        <v>5732.2358551748021</v>
      </c>
      <c r="K199" s="129">
        <f>Referentieproject!K119</f>
        <v>2170.4762347153237</v>
      </c>
      <c r="L199" s="130">
        <f>Referentieproject!L119</f>
        <v>8413.7254361515388</v>
      </c>
      <c r="M199" s="131">
        <f>Referentieproject!M119</f>
        <v>69028.65724672738</v>
      </c>
      <c r="N199" s="129">
        <f>Referentieproject!N119</f>
        <v>2933.5735154304293</v>
      </c>
      <c r="O199" s="130">
        <f>Referentieproject!O119</f>
        <v>1364.3964620795775</v>
      </c>
      <c r="T199" s="227"/>
      <c r="U199" s="227"/>
      <c r="V199" s="227"/>
      <c r="W199" s="227"/>
      <c r="X199" s="227"/>
      <c r="Y199" s="227"/>
      <c r="Z199" s="227"/>
      <c r="AA199" s="35"/>
      <c r="AB199" s="35"/>
      <c r="AC199" s="35"/>
      <c r="AD199" s="35"/>
      <c r="AE199" s="35"/>
      <c r="AF199" s="227"/>
      <c r="AG199" s="35"/>
      <c r="AH199" s="35"/>
      <c r="AI199" s="35"/>
      <c r="AJ199" s="35"/>
      <c r="AK199" s="227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27"/>
      <c r="AY199" s="227"/>
      <c r="AZ199" s="227"/>
      <c r="BA199" s="227"/>
      <c r="BB199" s="227"/>
      <c r="BC199" s="227"/>
      <c r="BD199" s="227"/>
      <c r="BE199" s="227"/>
      <c r="BF199" s="227"/>
      <c r="BG199" s="227"/>
      <c r="BH199" s="35"/>
      <c r="BI199" s="35"/>
      <c r="BJ199" s="56"/>
      <c r="BK199" s="47"/>
      <c r="BL199" s="234"/>
      <c r="BM199" s="234"/>
      <c r="BN199" s="234"/>
      <c r="BO199" s="234"/>
      <c r="BP199" s="234"/>
      <c r="BQ199" s="227"/>
      <c r="BR199" s="227"/>
      <c r="BS199" s="227"/>
      <c r="BT199" s="227"/>
      <c r="BU199" s="227"/>
    </row>
    <row r="200" spans="1:74" x14ac:dyDescent="0.2">
      <c r="A200" s="113"/>
      <c r="B200" s="33">
        <v>17</v>
      </c>
      <c r="C200" s="236" t="s">
        <v>294</v>
      </c>
      <c r="D200" s="145" t="str">
        <f>Referentieproject!T120</f>
        <v>2 prefab betonpalen (lengte 16m)</v>
      </c>
      <c r="E200" s="133"/>
      <c r="F200" s="133"/>
      <c r="G200" s="133"/>
      <c r="H200" s="133"/>
      <c r="I200" s="128"/>
      <c r="J200" s="254">
        <f>Referentieproject!J120</f>
        <v>3224.4182538948958</v>
      </c>
      <c r="K200" s="129">
        <f>Referentieproject!K120</f>
        <v>885.76918488855972</v>
      </c>
      <c r="L200" s="130">
        <f>Referentieproject!L120</f>
        <v>3706.0653828912514</v>
      </c>
      <c r="M200" s="131">
        <f>Referentieproject!M120</f>
        <v>27315.666116555036</v>
      </c>
      <c r="N200" s="129">
        <f>Referentieproject!N120</f>
        <v>500.81964320942552</v>
      </c>
      <c r="O200" s="130">
        <f>Referentieproject!O120</f>
        <v>1081.372634401918</v>
      </c>
      <c r="T200" s="227"/>
      <c r="U200" s="227"/>
      <c r="V200" s="227"/>
      <c r="W200" s="227"/>
      <c r="X200" s="227"/>
      <c r="Y200" s="227"/>
      <c r="Z200" s="227"/>
      <c r="AA200" s="35"/>
      <c r="AB200" s="35"/>
      <c r="AC200" s="35"/>
      <c r="AD200" s="35"/>
      <c r="AE200" s="35"/>
      <c r="AF200" s="227"/>
      <c r="AG200" s="35"/>
      <c r="AH200" s="35"/>
      <c r="AI200" s="35"/>
      <c r="AJ200" s="35"/>
      <c r="AK200" s="227"/>
      <c r="AL200" s="227"/>
      <c r="AM200" s="227"/>
      <c r="AN200" s="227"/>
      <c r="AO200" s="227"/>
      <c r="AP200" s="227"/>
      <c r="AQ200" s="227"/>
      <c r="AR200" s="227"/>
      <c r="AS200" s="227"/>
      <c r="AT200" s="227"/>
      <c r="AU200" s="227"/>
      <c r="AV200" s="227"/>
      <c r="AW200" s="227"/>
      <c r="AX200" s="227"/>
      <c r="AY200" s="227"/>
      <c r="AZ200" s="227"/>
      <c r="BA200" s="227"/>
      <c r="BB200" s="227"/>
      <c r="BC200" s="227"/>
      <c r="BD200" s="227"/>
      <c r="BE200" s="227"/>
      <c r="BF200" s="227"/>
      <c r="BG200" s="227"/>
      <c r="BH200" s="35"/>
      <c r="BI200" s="35"/>
      <c r="BJ200" s="56"/>
      <c r="BK200" s="47"/>
      <c r="BL200" s="234"/>
      <c r="BM200" s="234"/>
      <c r="BN200" s="234"/>
      <c r="BO200" s="234"/>
      <c r="BP200" s="234"/>
      <c r="BQ200" s="227"/>
      <c r="BR200" s="227"/>
      <c r="BS200" s="227"/>
      <c r="BT200" s="227"/>
      <c r="BU200" s="227"/>
    </row>
    <row r="201" spans="1:74" x14ac:dyDescent="0.2">
      <c r="A201" s="120" t="s">
        <v>164</v>
      </c>
      <c r="C201" s="235" t="s">
        <v>52</v>
      </c>
      <c r="D201" s="145"/>
      <c r="E201" s="133"/>
      <c r="F201" s="133"/>
      <c r="G201" s="133"/>
      <c r="H201" s="133"/>
      <c r="I201" s="128"/>
      <c r="J201" s="254"/>
      <c r="K201" s="129"/>
      <c r="L201" s="130"/>
      <c r="M201" s="131"/>
      <c r="N201" s="129"/>
      <c r="O201" s="130"/>
      <c r="P201" s="84"/>
      <c r="T201" s="227"/>
      <c r="U201" s="227"/>
      <c r="V201" s="227"/>
      <c r="W201" s="227"/>
      <c r="X201" s="227"/>
      <c r="Y201" s="227"/>
      <c r="Z201" s="227"/>
      <c r="AA201" s="35"/>
      <c r="AB201" s="35"/>
      <c r="AC201" s="35"/>
      <c r="AD201" s="35"/>
      <c r="AE201" s="35"/>
      <c r="AF201" s="227"/>
      <c r="AG201" s="35"/>
      <c r="AH201" s="35"/>
      <c r="AI201" s="35"/>
      <c r="AJ201" s="35"/>
      <c r="AK201" s="227"/>
      <c r="AL201" s="227"/>
      <c r="AM201" s="227"/>
      <c r="AN201" s="227"/>
      <c r="AO201" s="227"/>
      <c r="AP201" s="227"/>
      <c r="AQ201" s="227"/>
      <c r="AR201" s="227"/>
      <c r="AS201" s="227"/>
      <c r="AT201" s="227"/>
      <c r="AU201" s="227"/>
      <c r="AV201" s="227"/>
      <c r="AW201" s="227"/>
      <c r="AX201" s="227"/>
      <c r="AY201" s="227"/>
      <c r="AZ201" s="227"/>
      <c r="BA201" s="227"/>
      <c r="BB201" s="227"/>
      <c r="BC201" s="227"/>
      <c r="BD201" s="227"/>
      <c r="BE201" s="227"/>
      <c r="BF201" s="227"/>
      <c r="BG201" s="227"/>
      <c r="BH201" s="35"/>
      <c r="BI201" s="35"/>
      <c r="BJ201" s="56"/>
      <c r="BK201" s="47"/>
      <c r="BL201" s="234"/>
      <c r="BM201" s="234"/>
      <c r="BN201" s="234"/>
      <c r="BO201" s="234"/>
      <c r="BP201" s="234"/>
      <c r="BQ201" s="227"/>
      <c r="BR201" s="227"/>
      <c r="BS201" s="227"/>
      <c r="BT201" s="227"/>
      <c r="BU201" s="227"/>
    </row>
    <row r="202" spans="1:74" x14ac:dyDescent="0.2">
      <c r="A202" s="113"/>
      <c r="B202" s="33">
        <v>21</v>
      </c>
      <c r="C202" s="236" t="s">
        <v>295</v>
      </c>
      <c r="D202" s="145" t="str">
        <f>Referentieproject!T122</f>
        <v>1 kalkzandsteen binnenblad</v>
      </c>
      <c r="E202" s="133"/>
      <c r="F202" s="133"/>
      <c r="G202" s="133"/>
      <c r="H202" s="133"/>
      <c r="I202" s="128"/>
      <c r="J202" s="254">
        <f>Referentieproject!J122</f>
        <v>4352.5371046844921</v>
      </c>
      <c r="K202" s="129">
        <f>Referentieproject!K122</f>
        <v>585.92773467027894</v>
      </c>
      <c r="L202" s="130">
        <f>Referentieproject!L122</f>
        <v>2073.0065594459402</v>
      </c>
      <c r="M202" s="131">
        <f>Referentieproject!M122</f>
        <v>20587.855779682202</v>
      </c>
      <c r="N202" s="129">
        <f>Referentieproject!N122</f>
        <v>540.76099061243156</v>
      </c>
      <c r="O202" s="130">
        <f>Referentieproject!O122</f>
        <v>275.07761712489241</v>
      </c>
      <c r="T202" s="227"/>
      <c r="U202" s="227"/>
      <c r="V202" s="227"/>
      <c r="W202" s="227"/>
      <c r="X202" s="227"/>
      <c r="Y202" s="227"/>
      <c r="Z202" s="227"/>
      <c r="AA202" s="35"/>
      <c r="AB202" s="35"/>
      <c r="AC202" s="35"/>
      <c r="AD202" s="35"/>
      <c r="AE202" s="35"/>
      <c r="AF202" s="227"/>
      <c r="AG202" s="35"/>
      <c r="AH202" s="35"/>
      <c r="AI202" s="35"/>
      <c r="AJ202" s="35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35"/>
      <c r="BI202" s="35"/>
      <c r="BJ202" s="56"/>
      <c r="BK202" s="47"/>
      <c r="BL202" s="234"/>
      <c r="BM202" s="234"/>
      <c r="BN202" s="234"/>
      <c r="BO202" s="234"/>
      <c r="BP202" s="234"/>
      <c r="BQ202" s="227"/>
      <c r="BR202" s="227"/>
      <c r="BS202" s="227"/>
      <c r="BT202" s="227"/>
      <c r="BU202" s="227"/>
    </row>
    <row r="203" spans="1:74" x14ac:dyDescent="0.2">
      <c r="A203" s="113"/>
      <c r="B203" s="33">
        <v>22</v>
      </c>
      <c r="C203" s="236" t="s">
        <v>296</v>
      </c>
      <c r="D203" s="145" t="str">
        <f>Referentieproject!T123</f>
        <v>1 kalkzandst.bi.wand (spouw 2xE150)</v>
      </c>
      <c r="E203" s="133"/>
      <c r="F203" s="133"/>
      <c r="G203" s="133"/>
      <c r="H203" s="133"/>
      <c r="I203" s="128"/>
      <c r="J203" s="254">
        <f>Referentieproject!J123</f>
        <v>4225.9654205579691</v>
      </c>
      <c r="K203" s="129">
        <f>Referentieproject!K123</f>
        <v>650.68598131031217</v>
      </c>
      <c r="L203" s="130">
        <f>Referentieproject!L123</f>
        <v>2384.245794397239</v>
      </c>
      <c r="M203" s="131">
        <f>Referentieproject!M123</f>
        <v>22876.242056064239</v>
      </c>
      <c r="N203" s="129">
        <f>Referentieproject!N123</f>
        <v>594.3785046735369</v>
      </c>
      <c r="O203" s="130">
        <f>Referentieproject!O123</f>
        <v>30.381308412549267</v>
      </c>
      <c r="T203" s="227"/>
      <c r="U203" s="227"/>
      <c r="V203" s="227"/>
      <c r="W203" s="227"/>
      <c r="X203" s="227"/>
      <c r="Y203" s="227"/>
      <c r="Z203" s="227"/>
      <c r="AA203" s="35"/>
      <c r="AB203" s="35"/>
      <c r="AC203" s="35"/>
      <c r="AD203" s="35"/>
      <c r="AE203" s="35"/>
      <c r="AF203" s="227"/>
      <c r="AG203" s="35"/>
      <c r="AH203" s="35"/>
      <c r="AI203" s="35"/>
      <c r="AJ203" s="35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227"/>
      <c r="AZ203" s="227"/>
      <c r="BA203" s="227"/>
      <c r="BB203" s="227"/>
      <c r="BC203" s="227"/>
      <c r="BD203" s="227"/>
      <c r="BE203" s="227"/>
      <c r="BF203" s="227"/>
      <c r="BG203" s="227"/>
      <c r="BH203" s="35"/>
      <c r="BI203" s="35"/>
      <c r="BJ203" s="56"/>
      <c r="BK203" s="47"/>
      <c r="BL203" s="234"/>
      <c r="BM203" s="234"/>
      <c r="BN203" s="234"/>
      <c r="BO203" s="234"/>
      <c r="BP203" s="234"/>
      <c r="BQ203" s="227"/>
      <c r="BR203" s="227"/>
      <c r="BS203" s="227"/>
      <c r="BT203" s="227"/>
      <c r="BU203" s="227"/>
    </row>
    <row r="204" spans="1:74" x14ac:dyDescent="0.2">
      <c r="A204" s="113"/>
      <c r="B204" s="33">
        <v>23</v>
      </c>
      <c r="C204" s="236" t="s">
        <v>297</v>
      </c>
      <c r="D204" s="145" t="str">
        <f>Referentieproject!T124</f>
        <v>3 kanaalplaatvloer</v>
      </c>
      <c r="E204" s="133"/>
      <c r="F204" s="133"/>
      <c r="G204" s="133"/>
      <c r="H204" s="133"/>
      <c r="I204" s="128"/>
      <c r="J204" s="254">
        <f>Referentieproject!J124</f>
        <v>6806.8387359956223</v>
      </c>
      <c r="K204" s="129">
        <f>Referentieproject!K124</f>
        <v>1951.0973014069416</v>
      </c>
      <c r="L204" s="130">
        <f>Referentieproject!L124</f>
        <v>8494.4180584181304</v>
      </c>
      <c r="M204" s="131">
        <f>Referentieproject!M124</f>
        <v>66408.104836441882</v>
      </c>
      <c r="N204" s="129">
        <f>Referentieproject!N124</f>
        <v>2240.8424158890302</v>
      </c>
      <c r="O204" s="130">
        <f>Referentieproject!O124</f>
        <v>2093.0231892530069</v>
      </c>
      <c r="T204" s="227"/>
      <c r="U204" s="227"/>
      <c r="V204" s="227"/>
      <c r="W204" s="227"/>
      <c r="X204" s="227"/>
      <c r="Y204" s="227"/>
      <c r="Z204" s="227"/>
      <c r="AA204" s="35"/>
      <c r="AB204" s="35"/>
      <c r="AC204" s="35"/>
      <c r="AD204" s="35"/>
      <c r="AE204" s="35"/>
      <c r="AF204" s="227"/>
      <c r="AG204" s="35"/>
      <c r="AH204" s="35"/>
      <c r="AI204" s="35"/>
      <c r="AJ204" s="35"/>
      <c r="AK204" s="227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27"/>
      <c r="AZ204" s="227"/>
      <c r="BA204" s="227"/>
      <c r="BB204" s="227"/>
      <c r="BC204" s="227"/>
      <c r="BD204" s="227"/>
      <c r="BE204" s="227"/>
      <c r="BF204" s="227"/>
      <c r="BG204" s="227"/>
      <c r="BH204" s="35"/>
      <c r="BI204" s="35"/>
      <c r="BJ204" s="56"/>
      <c r="BK204" s="47"/>
      <c r="BL204" s="234"/>
      <c r="BM204" s="234"/>
      <c r="BN204" s="234"/>
      <c r="BO204" s="234"/>
      <c r="BP204" s="234"/>
      <c r="BQ204" s="227"/>
      <c r="BR204" s="227"/>
      <c r="BS204" s="227"/>
      <c r="BT204" s="227"/>
      <c r="BU204" s="227"/>
    </row>
    <row r="205" spans="1:74" x14ac:dyDescent="0.2">
      <c r="A205" s="113"/>
      <c r="B205" s="33">
        <v>27</v>
      </c>
      <c r="C205" s="236" t="s">
        <v>298</v>
      </c>
      <c r="D205" s="145" t="str">
        <f>Referentieproject!T125</f>
        <v>1 plat dak: constructie als bij vloeren</v>
      </c>
      <c r="E205" s="133"/>
      <c r="F205" s="133"/>
      <c r="G205" s="133"/>
      <c r="H205" s="133"/>
      <c r="I205" s="128"/>
      <c r="J205" s="254">
        <f>Referentieproject!J125</f>
        <v>3594.6227032785873</v>
      </c>
      <c r="K205" s="129">
        <f>Referentieproject!K125</f>
        <v>1030.354754675576</v>
      </c>
      <c r="L205" s="130">
        <f>Referentieproject!L125</f>
        <v>4485.8162780410357</v>
      </c>
      <c r="M205" s="131">
        <f>Referentieproject!M125</f>
        <v>35069.448621491778</v>
      </c>
      <c r="N205" s="129">
        <f>Referentieproject!N125</f>
        <v>1183.3662196267915</v>
      </c>
      <c r="O205" s="130">
        <f>Referentieproject!O125</f>
        <v>1105.3043808414757</v>
      </c>
      <c r="T205" s="227"/>
      <c r="U205" s="227"/>
      <c r="V205" s="227"/>
      <c r="W205" s="227"/>
      <c r="X205" s="227"/>
      <c r="Y205" s="227"/>
      <c r="Z205" s="227"/>
      <c r="AA205" s="35"/>
      <c r="AB205" s="35"/>
      <c r="AC205" s="35"/>
      <c r="AD205" s="35"/>
      <c r="AE205" s="35"/>
      <c r="AF205" s="227"/>
      <c r="AG205" s="35"/>
      <c r="AH205" s="35"/>
      <c r="AI205" s="35"/>
      <c r="AJ205" s="35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27"/>
      <c r="AZ205" s="227"/>
      <c r="BA205" s="227"/>
      <c r="BB205" s="227"/>
      <c r="BC205" s="227"/>
      <c r="BD205" s="227"/>
      <c r="BE205" s="227"/>
      <c r="BF205" s="227"/>
      <c r="BG205" s="227"/>
      <c r="BH205" s="35"/>
      <c r="BI205" s="35"/>
      <c r="BJ205" s="56"/>
      <c r="BK205" s="47"/>
      <c r="BL205" s="234"/>
      <c r="BM205" s="234"/>
      <c r="BN205" s="234"/>
      <c r="BO205" s="234"/>
      <c r="BP205" s="234"/>
      <c r="BQ205" s="227"/>
      <c r="BR205" s="227"/>
      <c r="BS205" s="227"/>
      <c r="BT205" s="227"/>
      <c r="BU205" s="227"/>
    </row>
    <row r="206" spans="1:74" x14ac:dyDescent="0.2">
      <c r="A206" s="113"/>
      <c r="B206" s="33">
        <v>28</v>
      </c>
      <c r="C206" s="236" t="s">
        <v>299</v>
      </c>
      <c r="D206" s="145" t="str">
        <f>Referentieproject!T126</f>
        <v>1 woningbouw</v>
      </c>
      <c r="E206" s="133"/>
      <c r="F206" s="133"/>
      <c r="G206" s="133"/>
      <c r="H206" s="133"/>
      <c r="I206" s="128"/>
      <c r="J206" s="254">
        <f>Referentieproject!J126</f>
        <v>3312.5331016573055</v>
      </c>
      <c r="K206" s="129">
        <f>Referentieproject!K126</f>
        <v>791.37664017832776</v>
      </c>
      <c r="L206" s="130">
        <f>Referentieproject!L126</f>
        <v>2170.2253576897192</v>
      </c>
      <c r="M206" s="131">
        <f>Referentieproject!M126</f>
        <v>31238.737125693158</v>
      </c>
      <c r="N206" s="129">
        <f>Referentieproject!N126</f>
        <v>258.6293871499322</v>
      </c>
      <c r="O206" s="130">
        <f>Referentieproject!O126</f>
        <v>204.75993991663302</v>
      </c>
      <c r="T206" s="227"/>
      <c r="U206" s="227"/>
      <c r="V206" s="227"/>
      <c r="W206" s="227"/>
      <c r="X206" s="227"/>
      <c r="Y206" s="227"/>
      <c r="Z206" s="227"/>
      <c r="AA206" s="35"/>
      <c r="AB206" s="35"/>
      <c r="AC206" s="35"/>
      <c r="AD206" s="35"/>
      <c r="AE206" s="35"/>
      <c r="AF206" s="227"/>
      <c r="AG206" s="35"/>
      <c r="AH206" s="35"/>
      <c r="AI206" s="35"/>
      <c r="AJ206" s="35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7"/>
      <c r="BD206" s="227"/>
      <c r="BE206" s="227"/>
      <c r="BF206" s="227"/>
      <c r="BG206" s="227"/>
      <c r="BH206" s="35"/>
      <c r="BI206" s="35"/>
      <c r="BJ206" s="56"/>
      <c r="BK206" s="47"/>
      <c r="BL206" s="234"/>
      <c r="BM206" s="234"/>
      <c r="BN206" s="234"/>
      <c r="BO206" s="234"/>
      <c r="BP206" s="234"/>
      <c r="BQ206" s="227"/>
      <c r="BR206" s="227"/>
      <c r="BS206" s="227"/>
      <c r="BT206" s="227"/>
      <c r="BU206" s="227"/>
    </row>
    <row r="207" spans="1:74" x14ac:dyDescent="0.2">
      <c r="A207" s="120" t="s">
        <v>165</v>
      </c>
      <c r="C207" s="235" t="s">
        <v>60</v>
      </c>
      <c r="D207" s="145"/>
      <c r="E207" s="133"/>
      <c r="F207" s="133"/>
      <c r="G207" s="133"/>
      <c r="H207" s="133"/>
      <c r="I207" s="128"/>
      <c r="J207" s="254"/>
      <c r="K207" s="129"/>
      <c r="L207" s="130"/>
      <c r="M207" s="131"/>
      <c r="N207" s="129"/>
      <c r="O207" s="130"/>
      <c r="P207" s="84"/>
      <c r="T207" s="227"/>
      <c r="U207" s="227"/>
      <c r="V207" s="227"/>
      <c r="W207" s="227"/>
      <c r="X207" s="227"/>
      <c r="Y207" s="227"/>
      <c r="Z207" s="227"/>
      <c r="AA207" s="35"/>
      <c r="AB207" s="35"/>
      <c r="AC207" s="35"/>
      <c r="AD207" s="35"/>
      <c r="AE207" s="35"/>
      <c r="AF207" s="227"/>
      <c r="AG207" s="35"/>
      <c r="AH207" s="35"/>
      <c r="AI207" s="35"/>
      <c r="AJ207" s="35"/>
      <c r="AK207" s="227"/>
      <c r="AL207" s="227"/>
      <c r="AM207" s="227"/>
      <c r="AN207" s="227"/>
      <c r="AO207" s="227"/>
      <c r="AP207" s="227"/>
      <c r="AQ207" s="227"/>
      <c r="AR207" s="227"/>
      <c r="AS207" s="227"/>
      <c r="AT207" s="227"/>
      <c r="AU207" s="227"/>
      <c r="AV207" s="227"/>
      <c r="AW207" s="227"/>
      <c r="AX207" s="227"/>
      <c r="AY207" s="227"/>
      <c r="AZ207" s="227"/>
      <c r="BA207" s="227"/>
      <c r="BB207" s="227"/>
      <c r="BC207" s="227"/>
      <c r="BD207" s="227"/>
      <c r="BE207" s="227"/>
      <c r="BF207" s="227"/>
      <c r="BG207" s="227"/>
      <c r="BH207" s="35"/>
      <c r="BI207" s="35"/>
      <c r="BJ207" s="56"/>
      <c r="BK207" s="47"/>
      <c r="BL207" s="234"/>
      <c r="BM207" s="234"/>
      <c r="BN207" s="234"/>
      <c r="BO207" s="234"/>
      <c r="BP207" s="234"/>
      <c r="BQ207" s="227"/>
      <c r="BR207" s="227"/>
      <c r="BS207" s="227"/>
      <c r="BT207" s="227"/>
      <c r="BU207" s="227"/>
    </row>
    <row r="208" spans="1:74" x14ac:dyDescent="0.2">
      <c r="A208" s="113"/>
      <c r="B208" s="33">
        <v>27</v>
      </c>
      <c r="C208" s="236" t="s">
        <v>300</v>
      </c>
      <c r="D208" s="145" t="str">
        <f>Referentieproject!T128</f>
        <v>1 eenvoudige daktrimmen</v>
      </c>
      <c r="E208" s="133"/>
      <c r="F208" s="133"/>
      <c r="G208" s="133"/>
      <c r="H208" s="133"/>
      <c r="I208" s="128"/>
      <c r="J208" s="254">
        <f>Referentieproject!J128</f>
        <v>986.89910059757221</v>
      </c>
      <c r="K208" s="129">
        <f>Referentieproject!K128</f>
        <v>267.10304483585571</v>
      </c>
      <c r="L208" s="130">
        <f>Referentieproject!L128</f>
        <v>482.49749802172693</v>
      </c>
      <c r="M208" s="131">
        <f>Referentieproject!M128</f>
        <v>6831.7753688430494</v>
      </c>
      <c r="N208" s="129">
        <f>Referentieproject!N128</f>
        <v>155.88657373878308</v>
      </c>
      <c r="O208" s="130">
        <f>Referentieproject!O128</f>
        <v>162.07148195720436</v>
      </c>
      <c r="T208" s="227"/>
      <c r="U208" s="227"/>
      <c r="V208" s="227"/>
      <c r="W208" s="227"/>
      <c r="X208" s="227"/>
      <c r="Y208" s="227"/>
      <c r="Z208" s="227"/>
      <c r="AA208" s="35"/>
      <c r="AB208" s="35"/>
      <c r="AC208" s="35"/>
      <c r="AD208" s="35"/>
      <c r="AE208" s="35"/>
      <c r="AF208" s="227"/>
      <c r="AG208" s="35"/>
      <c r="AH208" s="35"/>
      <c r="AI208" s="35"/>
      <c r="AJ208" s="35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7"/>
      <c r="BD208" s="227"/>
      <c r="BE208" s="227"/>
      <c r="BF208" s="227"/>
      <c r="BG208" s="227"/>
      <c r="BH208" s="35"/>
      <c r="BI208" s="35"/>
      <c r="BJ208" s="56"/>
      <c r="BK208" s="47"/>
      <c r="BL208" s="234"/>
      <c r="BM208" s="234"/>
      <c r="BN208" s="234"/>
      <c r="BO208" s="234"/>
      <c r="BP208" s="234"/>
      <c r="BQ208" s="227"/>
      <c r="BR208" s="227"/>
      <c r="BS208" s="227"/>
      <c r="BT208" s="227"/>
      <c r="BU208" s="227"/>
    </row>
    <row r="209" spans="1:73" x14ac:dyDescent="0.2">
      <c r="A209" s="113"/>
      <c r="B209" s="33">
        <v>37</v>
      </c>
      <c r="C209" s="236" t="s">
        <v>268</v>
      </c>
      <c r="D209" s="145" t="str">
        <f>Referentieproject!T129</f>
        <v>3 dakluiken</v>
      </c>
      <c r="E209" s="133"/>
      <c r="F209" s="133"/>
      <c r="G209" s="133"/>
      <c r="H209" s="133"/>
      <c r="I209" s="128"/>
      <c r="J209" s="254">
        <f>Referentieproject!J129</f>
        <v>116.07273364486934</v>
      </c>
      <c r="K209" s="129">
        <f>Referentieproject!K129</f>
        <v>17.007213785051544</v>
      </c>
      <c r="L209" s="130">
        <f>Referentieproject!L129</f>
        <v>53.071857476640965</v>
      </c>
      <c r="M209" s="131">
        <f>Referentieproject!M129</f>
        <v>429.50721378481694</v>
      </c>
      <c r="N209" s="129">
        <f>Referentieproject!N129</f>
        <v>31.919404205601605</v>
      </c>
      <c r="O209" s="130">
        <f>Referentieproject!O129</f>
        <v>4.1245619158837705</v>
      </c>
      <c r="T209" s="227"/>
      <c r="U209" s="227"/>
      <c r="V209" s="227"/>
      <c r="W209" s="227"/>
      <c r="X209" s="227"/>
      <c r="Y209" s="227"/>
      <c r="Z209" s="227"/>
      <c r="AA209" s="35"/>
      <c r="AB209" s="35"/>
      <c r="AC209" s="35"/>
      <c r="AD209" s="35"/>
      <c r="AE209" s="35"/>
      <c r="AF209" s="227"/>
      <c r="AG209" s="35"/>
      <c r="AH209" s="35"/>
      <c r="AI209" s="35"/>
      <c r="AJ209" s="35"/>
      <c r="AK209" s="227"/>
      <c r="AL209" s="227"/>
      <c r="AM209" s="227"/>
      <c r="AN209" s="227"/>
      <c r="AO209" s="227"/>
      <c r="AP209" s="227"/>
      <c r="AQ209" s="227"/>
      <c r="AR209" s="227"/>
      <c r="AS209" s="227"/>
      <c r="AT209" s="227"/>
      <c r="AU209" s="227"/>
      <c r="AV209" s="227"/>
      <c r="AW209" s="227"/>
      <c r="AX209" s="227"/>
      <c r="AY209" s="227"/>
      <c r="AZ209" s="227"/>
      <c r="BA209" s="227"/>
      <c r="BB209" s="227"/>
      <c r="BC209" s="227"/>
      <c r="BD209" s="227"/>
      <c r="BE209" s="227"/>
      <c r="BF209" s="227"/>
      <c r="BG209" s="227"/>
      <c r="BH209" s="35"/>
      <c r="BI209" s="35"/>
      <c r="BJ209" s="56"/>
      <c r="BK209" s="47"/>
      <c r="BL209" s="234"/>
      <c r="BM209" s="234"/>
      <c r="BN209" s="234"/>
      <c r="BO209" s="234"/>
      <c r="BP209" s="234"/>
      <c r="BQ209" s="227"/>
      <c r="BR209" s="227"/>
      <c r="BS209" s="227"/>
      <c r="BT209" s="227"/>
      <c r="BU209" s="227"/>
    </row>
    <row r="210" spans="1:73" x14ac:dyDescent="0.2">
      <c r="A210" s="113"/>
      <c r="B210" s="33">
        <v>47</v>
      </c>
      <c r="C210" s="236" t="s">
        <v>301</v>
      </c>
      <c r="D210" s="145" t="str">
        <f>Referentieproject!T130</f>
        <v>1 eps isolatie, kunststof bedekking</v>
      </c>
      <c r="E210" s="133"/>
      <c r="F210" s="133"/>
      <c r="G210" s="133"/>
      <c r="H210" s="133"/>
      <c r="I210" s="128"/>
      <c r="J210" s="254">
        <f>Referentieproject!J130</f>
        <v>3239.4672897359096</v>
      </c>
      <c r="K210" s="129">
        <f>Referentieproject!K130</f>
        <v>773.2464953219793</v>
      </c>
      <c r="L210" s="130">
        <f>Referentieproject!L130</f>
        <v>1721.0046728824593</v>
      </c>
      <c r="M210" s="131">
        <f>Referentieproject!M130</f>
        <v>43840.107476473808</v>
      </c>
      <c r="N210" s="129">
        <f>Referentieproject!N130</f>
        <v>188.97897196256486</v>
      </c>
      <c r="O210" s="130">
        <f>Referentieproject!O130</f>
        <v>405.76226635864828</v>
      </c>
      <c r="T210" s="227"/>
      <c r="U210" s="227"/>
      <c r="V210" s="227"/>
      <c r="W210" s="227"/>
      <c r="X210" s="227"/>
      <c r="Y210" s="227"/>
      <c r="Z210" s="227"/>
      <c r="AA210" s="35"/>
      <c r="AB210" s="35"/>
      <c r="AC210" s="35"/>
      <c r="AD210" s="35"/>
      <c r="AE210" s="35"/>
      <c r="AF210" s="227"/>
      <c r="AG210" s="35"/>
      <c r="AH210" s="35"/>
      <c r="AI210" s="35"/>
      <c r="AJ210" s="35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7"/>
      <c r="BD210" s="227"/>
      <c r="BE210" s="227"/>
      <c r="BF210" s="227"/>
      <c r="BG210" s="227"/>
      <c r="BH210" s="35"/>
      <c r="BI210" s="35"/>
      <c r="BJ210" s="56"/>
      <c r="BK210" s="47"/>
      <c r="BL210" s="234"/>
      <c r="BM210" s="234"/>
      <c r="BN210" s="234"/>
      <c r="BO210" s="234"/>
      <c r="BP210" s="234"/>
      <c r="BQ210" s="227"/>
      <c r="BR210" s="227"/>
      <c r="BS210" s="227"/>
      <c r="BT210" s="227"/>
      <c r="BU210" s="227"/>
    </row>
    <row r="211" spans="1:73" x14ac:dyDescent="0.2">
      <c r="A211" s="120" t="s">
        <v>166</v>
      </c>
      <c r="C211" s="235" t="s">
        <v>53</v>
      </c>
      <c r="D211" s="145"/>
      <c r="E211" s="133"/>
      <c r="F211" s="133"/>
      <c r="G211" s="133"/>
      <c r="H211" s="133"/>
      <c r="I211" s="128"/>
      <c r="J211" s="254"/>
      <c r="K211" s="129"/>
      <c r="L211" s="130"/>
      <c r="M211" s="131"/>
      <c r="N211" s="129"/>
      <c r="O211" s="130"/>
      <c r="P211" s="84"/>
      <c r="T211" s="227"/>
      <c r="U211" s="227"/>
      <c r="V211" s="227"/>
      <c r="W211" s="227"/>
      <c r="X211" s="227"/>
      <c r="Y211" s="227"/>
      <c r="Z211" s="227"/>
      <c r="AA211" s="35"/>
      <c r="AB211" s="34"/>
      <c r="AC211" s="34"/>
      <c r="AD211" s="34"/>
      <c r="AE211" s="34"/>
      <c r="AF211" s="227"/>
      <c r="AG211" s="34"/>
      <c r="AH211" s="34"/>
      <c r="AI211" s="34"/>
      <c r="AJ211" s="34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35"/>
      <c r="BI211" s="35"/>
      <c r="BJ211" s="56"/>
      <c r="BK211" s="47"/>
      <c r="BL211" s="234"/>
      <c r="BM211" s="234"/>
      <c r="BN211" s="234"/>
      <c r="BO211" s="234"/>
      <c r="BP211" s="234"/>
      <c r="BQ211" s="227"/>
      <c r="BR211" s="227"/>
      <c r="BS211" s="227"/>
      <c r="BT211" s="227"/>
      <c r="BU211" s="227"/>
    </row>
    <row r="212" spans="1:73" x14ac:dyDescent="0.2">
      <c r="A212" s="113"/>
      <c r="B212" s="33">
        <v>21</v>
      </c>
      <c r="C212" s="236" t="s">
        <v>422</v>
      </c>
      <c r="D212" s="145" t="str">
        <f>Referentieproject!T132</f>
        <v>1 baksteen (met isolatie)</v>
      </c>
      <c r="E212" s="133"/>
      <c r="F212" s="133"/>
      <c r="G212" s="133"/>
      <c r="H212" s="133"/>
      <c r="I212" s="128"/>
      <c r="J212" s="254">
        <f>Referentieproject!J132</f>
        <v>10839.953271008453</v>
      </c>
      <c r="K212" s="129">
        <f>Referentieproject!K132</f>
        <v>1795.1467289740012</v>
      </c>
      <c r="L212" s="130">
        <f>Referentieproject!L132</f>
        <v>8536.9710280315194</v>
      </c>
      <c r="M212" s="131">
        <f>Referentieproject!M132</f>
        <v>103133.994392457</v>
      </c>
      <c r="N212" s="129">
        <f>Referentieproject!N132</f>
        <v>3143.0060747663597</v>
      </c>
      <c r="O212" s="130">
        <f>Referentieproject!O132</f>
        <v>544.50841121964163</v>
      </c>
      <c r="T212" s="227"/>
      <c r="U212" s="227"/>
      <c r="V212" s="227"/>
      <c r="W212" s="227"/>
      <c r="X212" s="227"/>
      <c r="Y212" s="227"/>
      <c r="Z212" s="227"/>
      <c r="AA212" s="35"/>
      <c r="AB212" s="35"/>
      <c r="AC212" s="35"/>
      <c r="AD212" s="35"/>
      <c r="AE212" s="35"/>
      <c r="AF212" s="227"/>
      <c r="AG212" s="35"/>
      <c r="AH212" s="35"/>
      <c r="AI212" s="35"/>
      <c r="AJ212" s="35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35"/>
      <c r="BI212" s="35"/>
      <c r="BJ212" s="56"/>
      <c r="BK212" s="47"/>
      <c r="BL212" s="234"/>
      <c r="BM212" s="234"/>
      <c r="BN212" s="234"/>
      <c r="BO212" s="234"/>
      <c r="BP212" s="234"/>
      <c r="BQ212" s="227"/>
      <c r="BR212" s="227"/>
      <c r="BS212" s="227"/>
      <c r="BT212" s="227"/>
      <c r="BU212" s="227"/>
    </row>
    <row r="213" spans="1:73" x14ac:dyDescent="0.2">
      <c r="A213" s="113"/>
      <c r="B213" s="33">
        <v>31</v>
      </c>
      <c r="C213" s="236" t="s">
        <v>302</v>
      </c>
      <c r="D213" s="145" t="str">
        <f>Referentieproject!T133</f>
        <v>1 hardhouten kozijnen met HR++ glas</v>
      </c>
      <c r="E213" s="133"/>
      <c r="F213" s="133"/>
      <c r="G213" s="133"/>
      <c r="H213" s="133"/>
      <c r="I213" s="128"/>
      <c r="J213" s="254">
        <f>Referentieproject!J133</f>
        <v>18978.355324338678</v>
      </c>
      <c r="K213" s="129">
        <f>Referentieproject!K133</f>
        <v>6307.8260803743351</v>
      </c>
      <c r="L213" s="130">
        <f>Referentieproject!L133</f>
        <v>9402.231196696288</v>
      </c>
      <c r="M213" s="131">
        <f>Referentieproject!M133</f>
        <v>104297.10718931408</v>
      </c>
      <c r="N213" s="129">
        <f>Referentieproject!N133</f>
        <v>3618.9553579882904</v>
      </c>
      <c r="O213" s="130">
        <f>Referentieproject!O133</f>
        <v>1832.412891026851</v>
      </c>
      <c r="T213" s="227"/>
      <c r="U213" s="227"/>
      <c r="V213" s="227"/>
      <c r="W213" s="227"/>
      <c r="X213" s="227"/>
      <c r="Y213" s="227"/>
      <c r="Z213" s="227"/>
      <c r="AA213" s="35"/>
      <c r="AB213" s="35"/>
      <c r="AC213" s="35"/>
      <c r="AD213" s="35"/>
      <c r="AE213" s="35"/>
      <c r="AF213" s="227"/>
      <c r="AG213" s="35"/>
      <c r="AH213" s="35"/>
      <c r="AI213" s="35"/>
      <c r="AJ213" s="35"/>
      <c r="AK213" s="227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27"/>
      <c r="AV213" s="227"/>
      <c r="AW213" s="227"/>
      <c r="AX213" s="227"/>
      <c r="AY213" s="227"/>
      <c r="AZ213" s="227"/>
      <c r="BA213" s="227"/>
      <c r="BB213" s="227"/>
      <c r="BC213" s="227"/>
      <c r="BD213" s="227"/>
      <c r="BE213" s="227"/>
      <c r="BF213" s="227"/>
      <c r="BG213" s="227"/>
      <c r="BH213" s="35"/>
      <c r="BI213" s="35"/>
      <c r="BJ213" s="56"/>
      <c r="BK213" s="47"/>
      <c r="BL213" s="234"/>
      <c r="BM213" s="234"/>
      <c r="BN213" s="234"/>
      <c r="BO213" s="234"/>
      <c r="BP213" s="234"/>
      <c r="BQ213" s="227"/>
      <c r="BR213" s="227"/>
      <c r="BS213" s="227"/>
      <c r="BT213" s="227"/>
      <c r="BU213" s="227"/>
    </row>
    <row r="214" spans="1:73" x14ac:dyDescent="0.2">
      <c r="A214" s="113"/>
      <c r="B214" s="33">
        <v>41</v>
      </c>
      <c r="C214" s="236" t="s">
        <v>303</v>
      </c>
      <c r="D214" s="145" t="str">
        <f>Referentieproject!T134</f>
        <v>5 n.v.t.</v>
      </c>
      <c r="E214" s="133"/>
      <c r="F214" s="133"/>
      <c r="G214" s="133"/>
      <c r="H214" s="133"/>
      <c r="I214" s="128"/>
      <c r="J214" s="254">
        <f>Referentieproject!J134</f>
        <v>0</v>
      </c>
      <c r="K214" s="129">
        <f>Referentieproject!K134</f>
        <v>0</v>
      </c>
      <c r="L214" s="130">
        <f>Referentieproject!L134</f>
        <v>0</v>
      </c>
      <c r="M214" s="131">
        <f>Referentieproject!M134</f>
        <v>0</v>
      </c>
      <c r="N214" s="129">
        <f>Referentieproject!N134</f>
        <v>0</v>
      </c>
      <c r="O214" s="130">
        <f>Referentieproject!O134</f>
        <v>0</v>
      </c>
      <c r="T214" s="227"/>
      <c r="U214" s="227"/>
      <c r="V214" s="227"/>
      <c r="W214" s="227"/>
      <c r="X214" s="227"/>
      <c r="Y214" s="227"/>
      <c r="Z214" s="227"/>
      <c r="AA214" s="35"/>
      <c r="AB214" s="35"/>
      <c r="AC214" s="35"/>
      <c r="AD214" s="35"/>
      <c r="AE214" s="35"/>
      <c r="AF214" s="227"/>
      <c r="AG214" s="35"/>
      <c r="AH214" s="35"/>
      <c r="AI214" s="35"/>
      <c r="AJ214" s="35"/>
      <c r="AK214" s="227"/>
      <c r="AL214" s="227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  <c r="AY214" s="227"/>
      <c r="AZ214" s="227"/>
      <c r="BA214" s="227"/>
      <c r="BB214" s="227"/>
      <c r="BC214" s="227"/>
      <c r="BD214" s="227"/>
      <c r="BE214" s="227"/>
      <c r="BF214" s="227"/>
      <c r="BG214" s="227"/>
      <c r="BH214" s="35"/>
      <c r="BI214" s="35"/>
      <c r="BJ214" s="56"/>
      <c r="BK214" s="47"/>
      <c r="BL214" s="234"/>
      <c r="BM214" s="234"/>
      <c r="BN214" s="234"/>
      <c r="BO214" s="234"/>
      <c r="BP214" s="234"/>
      <c r="BQ214" s="227"/>
      <c r="BR214" s="227"/>
      <c r="BS214" s="227"/>
      <c r="BT214" s="227"/>
      <c r="BU214" s="227"/>
    </row>
    <row r="215" spans="1:73" x14ac:dyDescent="0.2">
      <c r="A215" s="120" t="s">
        <v>167</v>
      </c>
      <c r="C215" s="235" t="s">
        <v>54</v>
      </c>
      <c r="D215" s="145"/>
      <c r="E215" s="133"/>
      <c r="F215" s="133"/>
      <c r="G215" s="133"/>
      <c r="H215" s="133"/>
      <c r="I215" s="128"/>
      <c r="J215" s="254"/>
      <c r="K215" s="129"/>
      <c r="L215" s="130"/>
      <c r="M215" s="131"/>
      <c r="N215" s="129"/>
      <c r="O215" s="130"/>
      <c r="P215" s="84"/>
      <c r="T215" s="227"/>
      <c r="U215" s="227"/>
      <c r="V215" s="227"/>
      <c r="W215" s="227"/>
      <c r="X215" s="227"/>
      <c r="Y215" s="227"/>
      <c r="Z215" s="227"/>
      <c r="AA215" s="35"/>
      <c r="AB215" s="34"/>
      <c r="AC215" s="34"/>
      <c r="AD215" s="34"/>
      <c r="AE215" s="34"/>
      <c r="AF215" s="227"/>
      <c r="AG215" s="34"/>
      <c r="AH215" s="34"/>
      <c r="AI215" s="34"/>
      <c r="AJ215" s="34"/>
      <c r="AK215" s="227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227"/>
      <c r="AW215" s="227"/>
      <c r="AX215" s="227"/>
      <c r="AY215" s="227"/>
      <c r="AZ215" s="227"/>
      <c r="BA215" s="227"/>
      <c r="BB215" s="227"/>
      <c r="BC215" s="227"/>
      <c r="BD215" s="227"/>
      <c r="BE215" s="227"/>
      <c r="BF215" s="227"/>
      <c r="BG215" s="227"/>
      <c r="BH215" s="35"/>
      <c r="BI215" s="35"/>
      <c r="BJ215" s="56"/>
      <c r="BK215" s="47"/>
      <c r="BL215" s="234"/>
      <c r="BM215" s="234"/>
      <c r="BN215" s="234"/>
      <c r="BO215" s="234"/>
      <c r="BP215" s="234"/>
      <c r="BQ215" s="227"/>
      <c r="BR215" s="227"/>
      <c r="BS215" s="227"/>
      <c r="BT215" s="227"/>
      <c r="BU215" s="227"/>
    </row>
    <row r="216" spans="1:73" x14ac:dyDescent="0.2">
      <c r="A216" s="113"/>
      <c r="B216" s="33">
        <v>22</v>
      </c>
      <c r="C216" s="236" t="s">
        <v>423</v>
      </c>
      <c r="D216" s="145" t="str">
        <f>Referentieproject!T136</f>
        <v>2 gipsblokken</v>
      </c>
      <c r="E216" s="133"/>
      <c r="F216" s="133"/>
      <c r="G216" s="133"/>
      <c r="H216" s="133"/>
      <c r="I216" s="128"/>
      <c r="J216" s="254">
        <f>Referentieproject!J136</f>
        <v>3886.923364483725</v>
      </c>
      <c r="K216" s="129">
        <f>Referentieproject!K136</f>
        <v>690.72897196355677</v>
      </c>
      <c r="L216" s="130">
        <f>Referentieproject!L136</f>
        <v>3418.9233644787114</v>
      </c>
      <c r="M216" s="131">
        <f>Referentieproject!M136</f>
        <v>42575.663551340032</v>
      </c>
      <c r="N216" s="129">
        <f>Referentieproject!N136</f>
        <v>1388.6803738310471</v>
      </c>
      <c r="O216" s="130">
        <f>Referentieproject!O136</f>
        <v>154.2056074798995</v>
      </c>
      <c r="T216" s="227"/>
      <c r="U216" s="227"/>
      <c r="V216" s="227"/>
      <c r="W216" s="227"/>
      <c r="X216" s="227"/>
      <c r="Y216" s="227"/>
      <c r="Z216" s="227"/>
      <c r="AA216" s="35"/>
      <c r="AB216" s="35"/>
      <c r="AC216" s="35"/>
      <c r="AD216" s="35"/>
      <c r="AE216" s="35"/>
      <c r="AF216" s="227"/>
      <c r="AG216" s="35"/>
      <c r="AH216" s="35"/>
      <c r="AI216" s="35"/>
      <c r="AJ216" s="35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35"/>
      <c r="BI216" s="35"/>
      <c r="BJ216" s="56"/>
      <c r="BK216" s="47"/>
      <c r="BL216" s="234"/>
      <c r="BM216" s="234"/>
      <c r="BN216" s="234"/>
      <c r="BO216" s="234"/>
      <c r="BP216" s="234"/>
      <c r="BQ216" s="227"/>
      <c r="BR216" s="227"/>
      <c r="BS216" s="227"/>
      <c r="BT216" s="227"/>
      <c r="BU216" s="227"/>
    </row>
    <row r="217" spans="1:73" x14ac:dyDescent="0.2">
      <c r="A217" s="113"/>
      <c r="B217" s="33">
        <v>32</v>
      </c>
      <c r="C217" s="236" t="s">
        <v>304</v>
      </c>
      <c r="D217" s="145" t="str">
        <f>Referentieproject!T137</f>
        <v>1 gezet-stalen kozijnen/opdekdeuren</v>
      </c>
      <c r="E217" s="133"/>
      <c r="F217" s="133"/>
      <c r="G217" s="133"/>
      <c r="H217" s="133"/>
      <c r="I217" s="128"/>
      <c r="J217" s="254">
        <f>Referentieproject!J137</f>
        <v>3064.4085981331223</v>
      </c>
      <c r="K217" s="129">
        <f>Referentieproject!K137</f>
        <v>550.71233644813924</v>
      </c>
      <c r="L217" s="130">
        <f>Referentieproject!L137</f>
        <v>1851.7988785050748</v>
      </c>
      <c r="M217" s="131">
        <f>Referentieproject!M137</f>
        <v>22961.151214944668</v>
      </c>
      <c r="N217" s="129">
        <f>Referentieproject!N137</f>
        <v>694.161869158944</v>
      </c>
      <c r="O217" s="130">
        <f>Referentieproject!O137</f>
        <v>171.8638317761114</v>
      </c>
      <c r="T217" s="227"/>
      <c r="U217" s="227"/>
      <c r="V217" s="227"/>
      <c r="W217" s="227"/>
      <c r="X217" s="227"/>
      <c r="Y217" s="227"/>
      <c r="Z217" s="227"/>
      <c r="AA217" s="35"/>
      <c r="AB217" s="35"/>
      <c r="AC217" s="35"/>
      <c r="AD217" s="35"/>
      <c r="AE217" s="35"/>
      <c r="AF217" s="227"/>
      <c r="AG217" s="35"/>
      <c r="AH217" s="35"/>
      <c r="AI217" s="35"/>
      <c r="AJ217" s="35"/>
      <c r="AK217" s="227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227"/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35"/>
      <c r="BI217" s="35"/>
      <c r="BJ217" s="56"/>
      <c r="BK217" s="47"/>
      <c r="BL217" s="234"/>
      <c r="BM217" s="234"/>
      <c r="BN217" s="234"/>
      <c r="BO217" s="234"/>
      <c r="BP217" s="234"/>
      <c r="BQ217" s="227"/>
      <c r="BR217" s="227"/>
      <c r="BS217" s="227"/>
      <c r="BT217" s="227"/>
      <c r="BU217" s="227"/>
    </row>
    <row r="218" spans="1:73" x14ac:dyDescent="0.2">
      <c r="A218" s="113"/>
      <c r="B218" s="33">
        <v>42</v>
      </c>
      <c r="C218" s="236" t="s">
        <v>305</v>
      </c>
      <c r="D218" s="145" t="str">
        <f>Referentieproject!T138</f>
        <v>1 woningbouw: behangklaar, tegels</v>
      </c>
      <c r="E218" s="133"/>
      <c r="F218" s="133"/>
      <c r="G218" s="133"/>
      <c r="H218" s="133"/>
      <c r="I218" s="128"/>
      <c r="J218" s="254">
        <f>Referentieproject!J138</f>
        <v>1862.0942579430709</v>
      </c>
      <c r="K218" s="129">
        <f>Referentieproject!K138</f>
        <v>267.3130093471251</v>
      </c>
      <c r="L218" s="130">
        <f>Referentieproject!L138</f>
        <v>1561.5002859863455</v>
      </c>
      <c r="M218" s="131">
        <f>Referentieproject!M138</f>
        <v>8195.7831869325073</v>
      </c>
      <c r="N218" s="129">
        <f>Referentieproject!N138</f>
        <v>1172.7669308418733</v>
      </c>
      <c r="O218" s="130">
        <f>Referentieproject!O138</f>
        <v>53.133911214194988</v>
      </c>
      <c r="T218" s="227"/>
      <c r="U218" s="227"/>
      <c r="V218" s="227"/>
      <c r="W218" s="227"/>
      <c r="X218" s="227"/>
      <c r="Y218" s="227"/>
      <c r="Z218" s="227"/>
      <c r="AA218" s="35"/>
      <c r="AB218" s="35"/>
      <c r="AC218" s="35"/>
      <c r="AD218" s="35"/>
      <c r="AE218" s="35"/>
      <c r="AF218" s="227"/>
      <c r="AG218" s="35"/>
      <c r="AH218" s="35"/>
      <c r="AI218" s="35"/>
      <c r="AJ218" s="35"/>
      <c r="AK218" s="227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35"/>
      <c r="BI218" s="35"/>
      <c r="BJ218" s="56"/>
      <c r="BK218" s="47"/>
      <c r="BL218" s="234"/>
      <c r="BM218" s="234"/>
      <c r="BN218" s="234"/>
      <c r="BO218" s="234"/>
      <c r="BP218" s="234"/>
      <c r="BQ218" s="227"/>
      <c r="BR218" s="227"/>
      <c r="BS218" s="227"/>
      <c r="BT218" s="227"/>
      <c r="BU218" s="227"/>
    </row>
    <row r="219" spans="1:73" x14ac:dyDescent="0.2">
      <c r="A219" s="120" t="s">
        <v>168</v>
      </c>
      <c r="C219" s="235" t="s">
        <v>55</v>
      </c>
      <c r="D219" s="145"/>
      <c r="E219" s="133"/>
      <c r="F219" s="133"/>
      <c r="G219" s="133"/>
      <c r="H219" s="133"/>
      <c r="I219" s="128"/>
      <c r="J219" s="254"/>
      <c r="K219" s="129"/>
      <c r="L219" s="130"/>
      <c r="M219" s="131"/>
      <c r="N219" s="129"/>
      <c r="O219" s="130"/>
      <c r="P219" s="84"/>
      <c r="Q219" s="79"/>
      <c r="T219" s="227"/>
      <c r="U219" s="227"/>
      <c r="V219" s="227"/>
      <c r="W219" s="227"/>
      <c r="X219" s="227"/>
      <c r="Y219" s="227"/>
      <c r="Z219" s="227"/>
      <c r="AA219" s="35"/>
      <c r="AB219" s="34"/>
      <c r="AC219" s="34"/>
      <c r="AD219" s="34"/>
      <c r="AE219" s="34"/>
      <c r="AF219" s="227"/>
      <c r="AG219" s="34"/>
      <c r="AH219" s="34"/>
      <c r="AI219" s="34"/>
      <c r="AJ219" s="34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35"/>
      <c r="BI219" s="35"/>
      <c r="BJ219" s="56"/>
      <c r="BK219" s="47"/>
      <c r="BL219" s="234"/>
      <c r="BM219" s="234"/>
      <c r="BN219" s="234"/>
      <c r="BO219" s="234"/>
      <c r="BP219" s="234"/>
      <c r="BQ219" s="227"/>
      <c r="BR219" s="227"/>
      <c r="BS219" s="227"/>
      <c r="BT219" s="227"/>
      <c r="BU219" s="227"/>
    </row>
    <row r="220" spans="1:73" x14ac:dyDescent="0.2">
      <c r="A220" s="113"/>
      <c r="B220" s="33">
        <v>23</v>
      </c>
      <c r="C220" s="236" t="s">
        <v>306</v>
      </c>
      <c r="D220" s="145" t="str">
        <f>Referentieproject!T140</f>
        <v>1 prefab-beton galerij / balkon</v>
      </c>
      <c r="E220" s="133"/>
      <c r="F220" s="133"/>
      <c r="G220" s="133"/>
      <c r="H220" s="133"/>
      <c r="I220" s="128"/>
      <c r="J220" s="254">
        <f>Referentieproject!J140</f>
        <v>3995.5015194702851</v>
      </c>
      <c r="K220" s="129">
        <f>Referentieproject!K140</f>
        <v>803.84417445469307</v>
      </c>
      <c r="L220" s="130">
        <f>Referentieproject!L140</f>
        <v>2592.2861456383862</v>
      </c>
      <c r="M220" s="131">
        <f>Referentieproject!M140</f>
        <v>24364.215003896643</v>
      </c>
      <c r="N220" s="129">
        <f>Referentieproject!N140</f>
        <v>475.71935825542943</v>
      </c>
      <c r="O220" s="130">
        <f>Referentieproject!O140</f>
        <v>546.76159221189016</v>
      </c>
      <c r="T220" s="227"/>
      <c r="U220" s="227"/>
      <c r="V220" s="227"/>
      <c r="W220" s="227"/>
      <c r="X220" s="227"/>
      <c r="Y220" s="227"/>
      <c r="Z220" s="227"/>
      <c r="AA220" s="35"/>
      <c r="AB220" s="35"/>
      <c r="AC220" s="35"/>
      <c r="AD220" s="35"/>
      <c r="AE220" s="35"/>
      <c r="AF220" s="227"/>
      <c r="AG220" s="35"/>
      <c r="AH220" s="35"/>
      <c r="AI220" s="35"/>
      <c r="AJ220" s="35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35"/>
      <c r="BI220" s="35"/>
      <c r="BJ220" s="56"/>
      <c r="BK220" s="47"/>
      <c r="BL220" s="234"/>
      <c r="BM220" s="234"/>
      <c r="BN220" s="234"/>
      <c r="BO220" s="234"/>
      <c r="BP220" s="234"/>
      <c r="BQ220" s="227"/>
      <c r="BR220" s="227"/>
      <c r="BS220" s="227"/>
      <c r="BT220" s="227"/>
      <c r="BU220" s="227"/>
    </row>
    <row r="221" spans="1:73" x14ac:dyDescent="0.2">
      <c r="A221" s="113"/>
      <c r="B221" s="33">
        <v>33</v>
      </c>
      <c r="C221" s="236" t="s">
        <v>307</v>
      </c>
      <c r="D221" s="145" t="str">
        <f>Referentieproject!T141</f>
        <v>2 randafwerking vide (woningbouw)</v>
      </c>
      <c r="E221" s="133"/>
      <c r="F221" s="133"/>
      <c r="G221" s="133"/>
      <c r="H221" s="133"/>
      <c r="I221" s="128"/>
      <c r="J221" s="254">
        <f>Referentieproject!J141</f>
        <v>92.652336448685602</v>
      </c>
      <c r="K221" s="129">
        <f>Referentieproject!K141</f>
        <v>36.977803738239423</v>
      </c>
      <c r="L221" s="130">
        <f>Referentieproject!L141</f>
        <v>64.888317757025007</v>
      </c>
      <c r="M221" s="131">
        <f>Referentieproject!M141</f>
        <v>331.5876168220592</v>
      </c>
      <c r="N221" s="129">
        <f>Referentieproject!N141</f>
        <v>48.78785046726361</v>
      </c>
      <c r="O221" s="130">
        <f>Referentieproject!O141</f>
        <v>2.2587616822250385</v>
      </c>
      <c r="T221" s="227"/>
      <c r="U221" s="227"/>
      <c r="V221" s="227"/>
      <c r="W221" s="227"/>
      <c r="X221" s="227"/>
      <c r="Y221" s="227"/>
      <c r="Z221" s="227"/>
      <c r="AA221" s="35"/>
      <c r="AB221" s="35"/>
      <c r="AC221" s="35"/>
      <c r="AD221" s="35"/>
      <c r="AE221" s="35"/>
      <c r="AF221" s="227"/>
      <c r="AG221" s="35"/>
      <c r="AH221" s="35"/>
      <c r="AI221" s="35"/>
      <c r="AJ221" s="35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35"/>
      <c r="BI221" s="35"/>
      <c r="BJ221" s="56"/>
      <c r="BK221" s="47"/>
      <c r="BL221" s="234"/>
      <c r="BM221" s="234"/>
      <c r="BN221" s="234"/>
      <c r="BO221" s="234"/>
      <c r="BP221" s="234"/>
      <c r="BQ221" s="227"/>
      <c r="BR221" s="227"/>
      <c r="BS221" s="227"/>
      <c r="BT221" s="227"/>
      <c r="BU221" s="227"/>
    </row>
    <row r="222" spans="1:73" x14ac:dyDescent="0.2">
      <c r="A222" s="113"/>
      <c r="B222" s="33">
        <v>43</v>
      </c>
      <c r="C222" s="236" t="s">
        <v>308</v>
      </c>
      <c r="D222" s="145" t="str">
        <f>Referentieproject!T142</f>
        <v>1 woningbouw: cem.dekvloer, tegels</v>
      </c>
      <c r="E222" s="133"/>
      <c r="F222" s="133"/>
      <c r="G222" s="133"/>
      <c r="H222" s="133"/>
      <c r="I222" s="128"/>
      <c r="J222" s="254">
        <f>Referentieproject!J142</f>
        <v>2861.9494766286466</v>
      </c>
      <c r="K222" s="129">
        <f>Referentieproject!K142</f>
        <v>392.38822429741924</v>
      </c>
      <c r="L222" s="130">
        <f>Referentieproject!L142</f>
        <v>1563.3206916044899</v>
      </c>
      <c r="M222" s="131">
        <f>Referentieproject!M142</f>
        <v>18548.434766506227</v>
      </c>
      <c r="N222" s="129">
        <f>Referentieproject!N142</f>
        <v>501.00751401832662</v>
      </c>
      <c r="O222" s="130">
        <f>Referentieproject!O142</f>
        <v>133.82747663481251</v>
      </c>
      <c r="T222" s="227"/>
      <c r="U222" s="227"/>
      <c r="V222" s="227"/>
      <c r="W222" s="227"/>
      <c r="X222" s="227"/>
      <c r="Y222" s="227"/>
      <c r="Z222" s="227"/>
      <c r="AA222" s="35"/>
      <c r="AB222" s="35"/>
      <c r="AC222" s="35"/>
      <c r="AD222" s="35"/>
      <c r="AE222" s="35"/>
      <c r="AF222" s="227"/>
      <c r="AG222" s="35"/>
      <c r="AH222" s="35"/>
      <c r="AI222" s="35"/>
      <c r="AJ222" s="35"/>
      <c r="AK222" s="227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27"/>
      <c r="AV222" s="227"/>
      <c r="AW222" s="227"/>
      <c r="AX222" s="227"/>
      <c r="AY222" s="227"/>
      <c r="AZ222" s="227"/>
      <c r="BA222" s="227"/>
      <c r="BB222" s="227"/>
      <c r="BC222" s="227"/>
      <c r="BD222" s="227"/>
      <c r="BE222" s="227"/>
      <c r="BF222" s="227"/>
      <c r="BG222" s="227"/>
      <c r="BH222" s="35"/>
      <c r="BI222" s="35"/>
      <c r="BJ222" s="56"/>
      <c r="BK222" s="47"/>
      <c r="BL222" s="234"/>
      <c r="BM222" s="234"/>
      <c r="BN222" s="234"/>
      <c r="BO222" s="234"/>
      <c r="BP222" s="234"/>
      <c r="BQ222" s="227"/>
      <c r="BR222" s="227"/>
      <c r="BS222" s="227"/>
      <c r="BT222" s="227"/>
      <c r="BU222" s="227"/>
    </row>
    <row r="223" spans="1:73" x14ac:dyDescent="0.2">
      <c r="A223" s="120" t="s">
        <v>169</v>
      </c>
      <c r="C223" s="235" t="s">
        <v>328</v>
      </c>
      <c r="D223" s="145"/>
      <c r="E223" s="133"/>
      <c r="F223" s="133"/>
      <c r="G223" s="133"/>
      <c r="H223" s="133"/>
      <c r="I223" s="128"/>
      <c r="J223" s="254"/>
      <c r="K223" s="129"/>
      <c r="L223" s="130"/>
      <c r="M223" s="131"/>
      <c r="N223" s="129"/>
      <c r="O223" s="130"/>
      <c r="P223" s="84"/>
      <c r="Q223" s="79"/>
      <c r="T223" s="227"/>
      <c r="U223" s="227"/>
      <c r="V223" s="227"/>
      <c r="W223" s="227"/>
      <c r="X223" s="227"/>
      <c r="Y223" s="227"/>
      <c r="Z223" s="227"/>
      <c r="AA223" s="35"/>
      <c r="AB223" s="34"/>
      <c r="AC223" s="34"/>
      <c r="AD223" s="34"/>
      <c r="AE223" s="34"/>
      <c r="AF223" s="227"/>
      <c r="AG223" s="34"/>
      <c r="AH223" s="34"/>
      <c r="AI223" s="34"/>
      <c r="AJ223" s="34"/>
      <c r="AK223" s="227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35"/>
      <c r="BI223" s="35"/>
      <c r="BJ223" s="56"/>
      <c r="BK223" s="47"/>
      <c r="BL223" s="234"/>
      <c r="BM223" s="234"/>
      <c r="BN223" s="234"/>
      <c r="BO223" s="234"/>
      <c r="BP223" s="234"/>
      <c r="BQ223" s="227"/>
      <c r="BR223" s="227"/>
      <c r="BS223" s="227"/>
      <c r="BT223" s="227"/>
      <c r="BU223" s="227"/>
    </row>
    <row r="224" spans="1:73" x14ac:dyDescent="0.2">
      <c r="A224" s="113"/>
      <c r="B224" s="33">
        <v>24</v>
      </c>
      <c r="C224" s="236" t="s">
        <v>329</v>
      </c>
      <c r="D224" s="145" t="str">
        <f>Referentieproject!T144</f>
        <v>3 prefab-beton met bordessen (6m2/st)</v>
      </c>
      <c r="E224" s="133"/>
      <c r="F224" s="133"/>
      <c r="G224" s="133"/>
      <c r="H224" s="133"/>
      <c r="I224" s="128"/>
      <c r="J224" s="254">
        <f>Referentieproject!J144</f>
        <v>1589.4479168223415</v>
      </c>
      <c r="K224" s="129">
        <f>Referentieproject!K144</f>
        <v>420.73561214956675</v>
      </c>
      <c r="L224" s="130">
        <f>Referentieproject!L144</f>
        <v>1138.1119822427761</v>
      </c>
      <c r="M224" s="131">
        <f>Referentieproject!M144</f>
        <v>12155.788766355476</v>
      </c>
      <c r="N224" s="129">
        <f>Referentieproject!N144</f>
        <v>285.29639813082997</v>
      </c>
      <c r="O224" s="130">
        <f>Referentieproject!O144</f>
        <v>164.84408878502333</v>
      </c>
      <c r="T224" s="227"/>
      <c r="U224" s="227"/>
      <c r="V224" s="227"/>
      <c r="W224" s="227"/>
      <c r="X224" s="227"/>
      <c r="Y224" s="227"/>
      <c r="Z224" s="227"/>
      <c r="AA224" s="35"/>
      <c r="AB224" s="35"/>
      <c r="AC224" s="35"/>
      <c r="AD224" s="35"/>
      <c r="AE224" s="35"/>
      <c r="AF224" s="227"/>
      <c r="AG224" s="35"/>
      <c r="AH224" s="35"/>
      <c r="AI224" s="35"/>
      <c r="AJ224" s="35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  <c r="AY224" s="227"/>
      <c r="AZ224" s="227"/>
      <c r="BA224" s="227"/>
      <c r="BB224" s="227"/>
      <c r="BC224" s="227"/>
      <c r="BD224" s="227"/>
      <c r="BE224" s="227"/>
      <c r="BF224" s="227"/>
      <c r="BG224" s="227"/>
      <c r="BH224" s="35"/>
      <c r="BI224" s="35"/>
      <c r="BJ224" s="56"/>
      <c r="BK224" s="47"/>
      <c r="BL224" s="234"/>
      <c r="BM224" s="234"/>
      <c r="BN224" s="234"/>
      <c r="BO224" s="234"/>
      <c r="BP224" s="234"/>
      <c r="BQ224" s="234"/>
      <c r="BR224" s="227"/>
      <c r="BS224" s="227"/>
      <c r="BT224" s="227"/>
      <c r="BU224" s="227"/>
    </row>
    <row r="225" spans="1:73" x14ac:dyDescent="0.2">
      <c r="A225" s="113"/>
      <c r="B225" s="33">
        <v>34</v>
      </c>
      <c r="C225" s="236" t="s">
        <v>310</v>
      </c>
      <c r="D225" s="145" t="str">
        <f>Referentieproject!T145</f>
        <v>4 balkon- en traphekken: glasplaten</v>
      </c>
      <c r="E225" s="133"/>
      <c r="F225" s="133"/>
      <c r="G225" s="133"/>
      <c r="H225" s="133"/>
      <c r="I225" s="128"/>
      <c r="J225" s="254">
        <f>Referentieproject!J145</f>
        <v>4407.0639252341507</v>
      </c>
      <c r="K225" s="129">
        <f>Referentieproject!K145</f>
        <v>799.64579439241083</v>
      </c>
      <c r="L225" s="130">
        <f>Referentieproject!L145</f>
        <v>2715.927476635045</v>
      </c>
      <c r="M225" s="131">
        <f>Referentieproject!M145</f>
        <v>43334.554205610642</v>
      </c>
      <c r="N225" s="129">
        <f>Referentieproject!N145</f>
        <v>421.78542056068756</v>
      </c>
      <c r="O225" s="130">
        <f>Referentieproject!O145</f>
        <v>316.35476635538379</v>
      </c>
      <c r="T225" s="227"/>
      <c r="U225" s="227"/>
      <c r="V225" s="227"/>
      <c r="W225" s="227"/>
      <c r="X225" s="227"/>
      <c r="Y225" s="227"/>
      <c r="Z225" s="227"/>
      <c r="AA225" s="35"/>
      <c r="AB225" s="35"/>
      <c r="AC225" s="35"/>
      <c r="AD225" s="35"/>
      <c r="AE225" s="35"/>
      <c r="AF225" s="227"/>
      <c r="AG225" s="35"/>
      <c r="AH225" s="35"/>
      <c r="AI225" s="35"/>
      <c r="AJ225" s="35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35"/>
      <c r="BI225" s="35"/>
      <c r="BJ225" s="56"/>
      <c r="BK225" s="47"/>
      <c r="BL225" s="234"/>
      <c r="BM225" s="234"/>
      <c r="BN225" s="234"/>
      <c r="BO225" s="234"/>
      <c r="BP225" s="234"/>
      <c r="BQ225" s="227"/>
      <c r="BR225" s="227"/>
      <c r="BS225" s="227"/>
      <c r="BT225" s="227"/>
      <c r="BU225" s="227"/>
    </row>
    <row r="226" spans="1:73" x14ac:dyDescent="0.2">
      <c r="A226" s="113"/>
      <c r="B226" s="33">
        <v>44</v>
      </c>
      <c r="C226" s="236" t="s">
        <v>311</v>
      </c>
      <c r="D226" s="145" t="str">
        <f>Referentieproject!T146</f>
        <v>1 p.m. opgenomen in (1G24)</v>
      </c>
      <c r="E226" s="133"/>
      <c r="F226" s="133"/>
      <c r="G226" s="133"/>
      <c r="H226" s="133"/>
      <c r="I226" s="128"/>
      <c r="J226" s="254">
        <f>Referentieproject!J146</f>
        <v>0</v>
      </c>
      <c r="K226" s="129">
        <f>Referentieproject!K146</f>
        <v>0</v>
      </c>
      <c r="L226" s="130">
        <f>Referentieproject!L146</f>
        <v>0</v>
      </c>
      <c r="M226" s="131">
        <f>Referentieproject!M146</f>
        <v>0</v>
      </c>
      <c r="N226" s="129">
        <f>Referentieproject!N146</f>
        <v>0</v>
      </c>
      <c r="O226" s="130">
        <f>Referentieproject!O146</f>
        <v>0</v>
      </c>
      <c r="T226" s="227"/>
      <c r="U226" s="227"/>
      <c r="V226" s="227"/>
      <c r="W226" s="227"/>
      <c r="X226" s="227"/>
      <c r="Y226" s="227"/>
      <c r="Z226" s="227"/>
      <c r="AA226" s="35"/>
      <c r="AB226" s="35"/>
      <c r="AC226" s="35"/>
      <c r="AD226" s="35"/>
      <c r="AE226" s="35"/>
      <c r="AF226" s="227"/>
      <c r="AG226" s="35"/>
      <c r="AH226" s="35"/>
      <c r="AI226" s="35"/>
      <c r="AJ226" s="35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35"/>
      <c r="BI226" s="35"/>
      <c r="BJ226" s="56"/>
      <c r="BK226" s="47"/>
      <c r="BL226" s="234"/>
      <c r="BM226" s="234"/>
      <c r="BN226" s="234"/>
      <c r="BO226" s="234"/>
      <c r="BP226" s="234"/>
      <c r="BQ226" s="227"/>
      <c r="BR226" s="227"/>
      <c r="BS226" s="227"/>
      <c r="BT226" s="227"/>
      <c r="BU226" s="227"/>
    </row>
    <row r="227" spans="1:73" x14ac:dyDescent="0.2">
      <c r="A227" s="120" t="s">
        <v>170</v>
      </c>
      <c r="C227" s="235" t="s">
        <v>56</v>
      </c>
      <c r="D227" s="145"/>
      <c r="E227" s="133"/>
      <c r="F227" s="133"/>
      <c r="G227" s="133"/>
      <c r="H227" s="133"/>
      <c r="I227" s="128"/>
      <c r="J227" s="254"/>
      <c r="K227" s="129"/>
      <c r="L227" s="130"/>
      <c r="M227" s="131"/>
      <c r="N227" s="129"/>
      <c r="O227" s="130"/>
      <c r="P227" s="84"/>
      <c r="Q227" s="79"/>
      <c r="T227" s="227"/>
      <c r="U227" s="227"/>
      <c r="V227" s="227"/>
      <c r="W227" s="227"/>
      <c r="X227" s="227"/>
      <c r="Y227" s="227"/>
      <c r="Z227" s="227"/>
      <c r="AA227" s="35"/>
      <c r="AB227" s="35"/>
      <c r="AC227" s="35"/>
      <c r="AD227" s="35"/>
      <c r="AE227" s="35"/>
      <c r="AF227" s="227"/>
      <c r="AG227" s="35"/>
      <c r="AH227" s="35"/>
      <c r="AI227" s="35"/>
      <c r="AJ227" s="35"/>
      <c r="AK227" s="227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27"/>
      <c r="AV227" s="227"/>
      <c r="AW227" s="227"/>
      <c r="AX227" s="227"/>
      <c r="AY227" s="227"/>
      <c r="AZ227" s="227"/>
      <c r="BA227" s="227"/>
      <c r="BB227" s="227"/>
      <c r="BC227" s="227"/>
      <c r="BD227" s="227"/>
      <c r="BE227" s="227"/>
      <c r="BF227" s="227"/>
      <c r="BG227" s="227"/>
      <c r="BH227" s="35"/>
      <c r="BI227" s="35"/>
      <c r="BJ227" s="56"/>
      <c r="BK227" s="47"/>
      <c r="BL227" s="234"/>
      <c r="BM227" s="234"/>
      <c r="BN227" s="234"/>
      <c r="BO227" s="234"/>
      <c r="BP227" s="234"/>
      <c r="BQ227" s="227"/>
      <c r="BR227" s="227"/>
      <c r="BS227" s="227"/>
      <c r="BT227" s="227"/>
      <c r="BU227" s="227"/>
    </row>
    <row r="228" spans="1:73" x14ac:dyDescent="0.2">
      <c r="A228" s="113"/>
      <c r="B228" s="33">
        <v>45</v>
      </c>
      <c r="C228" s="236" t="s">
        <v>312</v>
      </c>
      <c r="D228" s="145" t="str">
        <f>Referentieproject!T148</f>
        <v>1 woningbouw: spuitwerk (onderz.vloer)</v>
      </c>
      <c r="E228" s="133"/>
      <c r="F228" s="133"/>
      <c r="G228" s="133"/>
      <c r="H228" s="133"/>
      <c r="I228" s="128"/>
      <c r="J228" s="254">
        <f>Referentieproject!J148</f>
        <v>638.41121495325842</v>
      </c>
      <c r="K228" s="129">
        <f>Referentieproject!K148</f>
        <v>210.95327102415345</v>
      </c>
      <c r="L228" s="130">
        <f>Referentieproject!L148</f>
        <v>605.65794393350586</v>
      </c>
      <c r="M228" s="131">
        <f>Referentieproject!M148</f>
        <v>12072.63364500034</v>
      </c>
      <c r="N228" s="129">
        <f>Referentieproject!N148</f>
        <v>64.951401866644744</v>
      </c>
      <c r="O228" s="130">
        <f>Referentieproject!O148</f>
        <v>54.403738319957476</v>
      </c>
      <c r="T228" s="227"/>
      <c r="U228" s="227"/>
      <c r="V228" s="227"/>
      <c r="W228" s="227"/>
      <c r="X228" s="227"/>
      <c r="Y228" s="227"/>
      <c r="Z228" s="227"/>
      <c r="AA228" s="35"/>
      <c r="AB228" s="35"/>
      <c r="AC228" s="35"/>
      <c r="AD228" s="35"/>
      <c r="AE228" s="35"/>
      <c r="AF228" s="227"/>
      <c r="AG228" s="35"/>
      <c r="AH228" s="35"/>
      <c r="AI228" s="35"/>
      <c r="AJ228" s="35"/>
      <c r="AK228" s="227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227"/>
      <c r="AW228" s="227"/>
      <c r="AX228" s="227"/>
      <c r="AY228" s="227"/>
      <c r="AZ228" s="227"/>
      <c r="BA228" s="227"/>
      <c r="BB228" s="227"/>
      <c r="BC228" s="227"/>
      <c r="BD228" s="227"/>
      <c r="BE228" s="227"/>
      <c r="BF228" s="227"/>
      <c r="BG228" s="227"/>
      <c r="BH228" s="35"/>
      <c r="BI228" s="35"/>
      <c r="BJ228" s="56"/>
      <c r="BK228" s="47"/>
      <c r="BL228" s="234"/>
      <c r="BM228" s="234"/>
      <c r="BN228" s="234"/>
      <c r="BO228" s="234"/>
      <c r="BP228" s="234"/>
      <c r="BQ228" s="227"/>
      <c r="BR228" s="227"/>
      <c r="BS228" s="227"/>
      <c r="BT228" s="227"/>
      <c r="BU228" s="227"/>
    </row>
    <row r="229" spans="1:73" x14ac:dyDescent="0.2">
      <c r="A229" s="113"/>
      <c r="C229" s="146" t="s">
        <v>42</v>
      </c>
      <c r="D229" s="145"/>
      <c r="E229" s="133"/>
      <c r="F229" s="133"/>
      <c r="G229" s="133"/>
      <c r="H229" s="133"/>
      <c r="I229" s="128"/>
      <c r="J229" s="254"/>
      <c r="K229" s="129"/>
      <c r="L229" s="130"/>
      <c r="M229" s="131"/>
      <c r="N229" s="129"/>
      <c r="O229" s="130"/>
      <c r="P229" s="84"/>
      <c r="Q229" s="79"/>
      <c r="T229" s="227"/>
      <c r="U229" s="227"/>
      <c r="V229" s="227"/>
      <c r="W229" s="227"/>
      <c r="X229" s="227"/>
      <c r="Y229" s="227"/>
      <c r="Z229" s="227"/>
      <c r="AA229" s="35"/>
      <c r="AB229" s="36"/>
      <c r="AC229" s="36"/>
      <c r="AD229" s="36"/>
      <c r="AE229" s="36"/>
      <c r="AF229" s="227"/>
      <c r="AG229" s="36"/>
      <c r="AH229" s="36"/>
      <c r="AI229" s="36"/>
      <c r="AJ229" s="36"/>
      <c r="AK229" s="227"/>
      <c r="AL229" s="227"/>
      <c r="AM229" s="227"/>
      <c r="AN229" s="227"/>
      <c r="AO229" s="227"/>
      <c r="AP229" s="227"/>
      <c r="AQ229" s="227"/>
      <c r="AR229" s="227"/>
      <c r="AS229" s="227"/>
      <c r="AT229" s="227"/>
      <c r="AU229" s="227"/>
      <c r="AV229" s="227"/>
      <c r="AW229" s="227"/>
      <c r="AX229" s="227"/>
      <c r="AY229" s="227"/>
      <c r="AZ229" s="227"/>
      <c r="BA229" s="227"/>
      <c r="BB229" s="227"/>
      <c r="BC229" s="227"/>
      <c r="BD229" s="227"/>
      <c r="BE229" s="227"/>
      <c r="BF229" s="227"/>
      <c r="BG229" s="227"/>
      <c r="BH229" s="35"/>
      <c r="BI229" s="35"/>
      <c r="BJ229" s="56"/>
      <c r="BK229" s="47"/>
      <c r="BL229" s="234"/>
      <c r="BM229" s="234"/>
      <c r="BN229" s="234"/>
      <c r="BO229" s="234"/>
      <c r="BP229" s="234"/>
      <c r="BQ229" s="227"/>
      <c r="BR229" s="227"/>
      <c r="BS229" s="227"/>
      <c r="BT229" s="227"/>
      <c r="BU229" s="227"/>
    </row>
    <row r="230" spans="1:73" x14ac:dyDescent="0.2">
      <c r="A230" s="120" t="s">
        <v>171</v>
      </c>
      <c r="C230" s="235" t="s">
        <v>9</v>
      </c>
      <c r="D230" s="145"/>
      <c r="E230" s="133"/>
      <c r="F230" s="133"/>
      <c r="G230" s="133"/>
      <c r="H230" s="133"/>
      <c r="I230" s="128"/>
      <c r="J230" s="254"/>
      <c r="K230" s="129"/>
      <c r="L230" s="130"/>
      <c r="M230" s="131"/>
      <c r="N230" s="129"/>
      <c r="O230" s="130"/>
      <c r="P230" s="84"/>
      <c r="Q230" s="79"/>
      <c r="T230" s="227"/>
      <c r="U230" s="227"/>
      <c r="V230" s="227"/>
      <c r="W230" s="227"/>
      <c r="X230" s="227"/>
      <c r="Y230" s="227"/>
      <c r="Z230" s="227"/>
      <c r="AA230" s="35"/>
      <c r="AB230" s="35"/>
      <c r="AC230" s="35"/>
      <c r="AD230" s="35"/>
      <c r="AE230" s="35"/>
      <c r="AF230" s="227"/>
      <c r="AG230" s="35"/>
      <c r="AH230" s="35"/>
      <c r="AI230" s="35"/>
      <c r="AJ230" s="35"/>
      <c r="AK230" s="227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35"/>
      <c r="BI230" s="35"/>
      <c r="BJ230" s="56"/>
      <c r="BK230" s="47"/>
      <c r="BL230" s="234"/>
      <c r="BM230" s="234"/>
      <c r="BN230" s="234"/>
      <c r="BO230" s="234"/>
      <c r="BP230" s="234"/>
      <c r="BQ230" s="227"/>
      <c r="BR230" s="227"/>
      <c r="BS230" s="227"/>
      <c r="BT230" s="227"/>
      <c r="BU230" s="227"/>
    </row>
    <row r="231" spans="1:73" x14ac:dyDescent="0.2">
      <c r="A231" s="113"/>
      <c r="B231" s="33">
        <v>51</v>
      </c>
      <c r="C231" s="236" t="s">
        <v>313</v>
      </c>
      <c r="D231" s="145" t="str">
        <f>Referentieproject!T151</f>
        <v>5 n.v.t.</v>
      </c>
      <c r="E231" s="133"/>
      <c r="F231" s="133"/>
      <c r="G231" s="133"/>
      <c r="H231" s="133"/>
      <c r="I231" s="128"/>
      <c r="J231" s="254">
        <f>Referentieproject!J151</f>
        <v>0</v>
      </c>
      <c r="K231" s="129">
        <f>Referentieproject!K151</f>
        <v>0</v>
      </c>
      <c r="L231" s="130">
        <f>Referentieproject!L151</f>
        <v>0</v>
      </c>
      <c r="M231" s="131">
        <f>Referentieproject!M151</f>
        <v>0</v>
      </c>
      <c r="N231" s="129">
        <f>Referentieproject!N151</f>
        <v>0</v>
      </c>
      <c r="O231" s="130">
        <f>Referentieproject!O151</f>
        <v>0</v>
      </c>
      <c r="T231" s="227"/>
      <c r="U231" s="227"/>
      <c r="V231" s="227"/>
      <c r="W231" s="227"/>
      <c r="X231" s="227"/>
      <c r="Y231" s="227"/>
      <c r="Z231" s="227"/>
      <c r="AA231" s="35"/>
      <c r="AB231" s="35"/>
      <c r="AC231" s="35"/>
      <c r="AD231" s="35"/>
      <c r="AE231" s="35"/>
      <c r="AF231" s="227"/>
      <c r="AG231" s="35"/>
      <c r="AH231" s="35"/>
      <c r="AI231" s="35"/>
      <c r="AJ231" s="35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35"/>
      <c r="BI231" s="35"/>
      <c r="BJ231" s="56"/>
      <c r="BK231" s="47"/>
      <c r="BL231" s="234"/>
      <c r="BM231" s="234"/>
      <c r="BN231" s="234"/>
      <c r="BO231" s="234"/>
      <c r="BP231" s="234"/>
      <c r="BQ231" s="227"/>
      <c r="BR231" s="227"/>
      <c r="BS231" s="227"/>
      <c r="BT231" s="227"/>
      <c r="BU231" s="227"/>
    </row>
    <row r="232" spans="1:73" x14ac:dyDescent="0.2">
      <c r="A232" s="113"/>
      <c r="B232" s="33">
        <v>52</v>
      </c>
      <c r="C232" s="236" t="s">
        <v>314</v>
      </c>
      <c r="D232" s="145" t="str">
        <f>Referentieproject!T152</f>
        <v>1 woningbouw</v>
      </c>
      <c r="E232" s="133"/>
      <c r="F232" s="133"/>
      <c r="G232" s="133"/>
      <c r="H232" s="133"/>
      <c r="I232" s="128"/>
      <c r="J232" s="254">
        <f>Referentieproject!J152</f>
        <v>1342.0327500008625</v>
      </c>
      <c r="K232" s="129">
        <f>Referentieproject!K152</f>
        <v>132.17925000026298</v>
      </c>
      <c r="L232" s="130">
        <f>Referentieproject!L152</f>
        <v>298.86824999857708</v>
      </c>
      <c r="M232" s="131">
        <f>Referentieproject!M152</f>
        <v>5983.2142499953989</v>
      </c>
      <c r="N232" s="129">
        <f>Referentieproject!N152</f>
        <v>41.595375000019885</v>
      </c>
      <c r="O232" s="130">
        <f>Referentieproject!O152</f>
        <v>64.792972500566748</v>
      </c>
      <c r="T232" s="227"/>
      <c r="U232" s="227"/>
      <c r="V232" s="227"/>
      <c r="W232" s="227"/>
      <c r="X232" s="227"/>
      <c r="Y232" s="227"/>
      <c r="Z232" s="227"/>
      <c r="AA232" s="35"/>
      <c r="AB232" s="35"/>
      <c r="AC232" s="35"/>
      <c r="AD232" s="35"/>
      <c r="AE232" s="35"/>
      <c r="AF232" s="227"/>
      <c r="AG232" s="35"/>
      <c r="AH232" s="35"/>
      <c r="AI232" s="35"/>
      <c r="AJ232" s="35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35"/>
      <c r="BI232" s="35"/>
      <c r="BJ232" s="56"/>
      <c r="BK232" s="47"/>
      <c r="BL232" s="234"/>
      <c r="BM232" s="234"/>
      <c r="BN232" s="234"/>
      <c r="BO232" s="234"/>
      <c r="BP232" s="234"/>
      <c r="BQ232" s="227"/>
      <c r="BR232" s="227"/>
      <c r="BS232" s="227"/>
      <c r="BT232" s="227"/>
      <c r="BU232" s="227"/>
    </row>
    <row r="233" spans="1:73" x14ac:dyDescent="0.2">
      <c r="A233" s="113"/>
      <c r="B233" s="33">
        <v>53</v>
      </c>
      <c r="C233" s="236" t="s">
        <v>315</v>
      </c>
      <c r="D233" s="145" t="str">
        <f>Referentieproject!T153</f>
        <v>1 woningbouw</v>
      </c>
      <c r="E233" s="133"/>
      <c r="F233" s="133"/>
      <c r="G233" s="133"/>
      <c r="H233" s="133"/>
      <c r="I233" s="128"/>
      <c r="J233" s="254">
        <f>Referentieproject!J153</f>
        <v>2417.2552500013353</v>
      </c>
      <c r="K233" s="129">
        <f>Referentieproject!K153</f>
        <v>272.31225000111294</v>
      </c>
      <c r="L233" s="130">
        <f>Referentieproject!L153</f>
        <v>301.48350000085884</v>
      </c>
      <c r="M233" s="131">
        <f>Referentieproject!M153</f>
        <v>6156.8145000161167</v>
      </c>
      <c r="N233" s="129">
        <f>Referentieproject!N153</f>
        <v>60.134250000663769</v>
      </c>
      <c r="O233" s="130">
        <f>Referentieproject!O153</f>
        <v>700.91429250049373</v>
      </c>
      <c r="T233" s="227"/>
      <c r="U233" s="227"/>
      <c r="V233" s="227"/>
      <c r="W233" s="227"/>
      <c r="X233" s="227"/>
      <c r="Y233" s="227"/>
      <c r="Z233" s="227"/>
      <c r="AA233" s="35"/>
      <c r="AB233" s="35"/>
      <c r="AC233" s="35"/>
      <c r="AD233" s="35"/>
      <c r="AE233" s="35"/>
      <c r="AF233" s="227"/>
      <c r="AG233" s="35"/>
      <c r="AH233" s="35"/>
      <c r="AI233" s="35"/>
      <c r="AJ233" s="35"/>
      <c r="AK233" s="227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/>
      <c r="AV233" s="227"/>
      <c r="AW233" s="227"/>
      <c r="AX233" s="227"/>
      <c r="AY233" s="227"/>
      <c r="AZ233" s="227"/>
      <c r="BA233" s="227"/>
      <c r="BB233" s="227"/>
      <c r="BC233" s="227"/>
      <c r="BD233" s="227"/>
      <c r="BE233" s="227"/>
      <c r="BF233" s="227"/>
      <c r="BG233" s="227"/>
      <c r="BH233" s="35"/>
      <c r="BI233" s="35"/>
      <c r="BJ233" s="56"/>
      <c r="BK233" s="47"/>
      <c r="BL233" s="234"/>
      <c r="BM233" s="234"/>
      <c r="BN233" s="234"/>
      <c r="BO233" s="234"/>
      <c r="BP233" s="234"/>
      <c r="BQ233" s="227"/>
      <c r="BR233" s="227"/>
      <c r="BS233" s="227"/>
      <c r="BT233" s="227"/>
      <c r="BU233" s="227"/>
    </row>
    <row r="234" spans="1:73" x14ac:dyDescent="0.2">
      <c r="A234" s="113"/>
      <c r="B234" s="33">
        <v>54</v>
      </c>
      <c r="C234" s="236" t="s">
        <v>316</v>
      </c>
      <c r="D234" s="145" t="str">
        <f>Referentieproject!T154</f>
        <v>1 woningbouw</v>
      </c>
      <c r="E234" s="133"/>
      <c r="F234" s="133"/>
      <c r="G234" s="133"/>
      <c r="H234" s="133"/>
      <c r="I234" s="128"/>
      <c r="J234" s="254">
        <f>Referentieproject!J154</f>
        <v>385.31024999867896</v>
      </c>
      <c r="K234" s="129">
        <f>Referentieproject!K154</f>
        <v>21.904500000067628</v>
      </c>
      <c r="L234" s="130">
        <f>Referentieproject!L154</f>
        <v>55.020750000085172</v>
      </c>
      <c r="M234" s="131">
        <f>Referentieproject!M154</f>
        <v>842.40674999546172</v>
      </c>
      <c r="N234" s="129">
        <f>Referentieproject!N154</f>
        <v>5.1157499999931133</v>
      </c>
      <c r="O234" s="130">
        <f>Referentieproject!O154</f>
        <v>4.0117500000519613</v>
      </c>
      <c r="T234" s="227"/>
      <c r="U234" s="227"/>
      <c r="V234" s="227"/>
      <c r="W234" s="227"/>
      <c r="X234" s="227"/>
      <c r="Y234" s="227"/>
      <c r="Z234" s="227"/>
      <c r="AA234" s="35"/>
      <c r="AB234" s="35"/>
      <c r="AC234" s="35"/>
      <c r="AD234" s="35"/>
      <c r="AE234" s="35"/>
      <c r="AF234" s="227"/>
      <c r="AG234" s="35"/>
      <c r="AH234" s="35"/>
      <c r="AI234" s="35"/>
      <c r="AJ234" s="35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227"/>
      <c r="AW234" s="227"/>
      <c r="AX234" s="227"/>
      <c r="AY234" s="227"/>
      <c r="AZ234" s="227"/>
      <c r="BA234" s="227"/>
      <c r="BB234" s="227"/>
      <c r="BC234" s="227"/>
      <c r="BD234" s="227"/>
      <c r="BE234" s="227"/>
      <c r="BF234" s="227"/>
      <c r="BG234" s="227"/>
      <c r="BH234" s="35"/>
      <c r="BI234" s="35"/>
      <c r="BJ234" s="56"/>
      <c r="BK234" s="47"/>
      <c r="BL234" s="234"/>
      <c r="BM234" s="234"/>
      <c r="BN234" s="234"/>
      <c r="BO234" s="234"/>
      <c r="BP234" s="234"/>
      <c r="BQ234" s="227"/>
      <c r="BR234" s="227"/>
      <c r="BS234" s="227"/>
      <c r="BT234" s="227"/>
      <c r="BU234" s="227"/>
    </row>
    <row r="235" spans="1:73" x14ac:dyDescent="0.2">
      <c r="A235" s="120" t="s">
        <v>172</v>
      </c>
      <c r="C235" s="235" t="s">
        <v>10</v>
      </c>
      <c r="D235" s="272"/>
      <c r="E235" s="186"/>
      <c r="F235" s="186"/>
      <c r="G235" s="186"/>
      <c r="H235" s="186"/>
      <c r="I235" s="273"/>
      <c r="J235" s="254"/>
      <c r="K235" s="129"/>
      <c r="L235" s="130"/>
      <c r="M235" s="131"/>
      <c r="N235" s="129"/>
      <c r="O235" s="130"/>
      <c r="P235" s="84"/>
      <c r="Q235" s="79"/>
      <c r="T235" s="227"/>
      <c r="U235" s="227"/>
      <c r="V235" s="227"/>
      <c r="W235" s="227"/>
      <c r="X235" s="227"/>
      <c r="Y235" s="227"/>
      <c r="Z235" s="227"/>
      <c r="AA235" s="35"/>
      <c r="AB235" s="35"/>
      <c r="AC235" s="35"/>
      <c r="AD235" s="35"/>
      <c r="AE235" s="35"/>
      <c r="AF235" s="227"/>
      <c r="AG235" s="35"/>
      <c r="AH235" s="35"/>
      <c r="AI235" s="35"/>
      <c r="AJ235" s="35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35"/>
      <c r="BI235" s="35"/>
      <c r="BJ235" s="56"/>
      <c r="BK235" s="47"/>
      <c r="BL235" s="234"/>
      <c r="BM235" s="234"/>
      <c r="BN235" s="234"/>
      <c r="BO235" s="234"/>
      <c r="BP235" s="234"/>
      <c r="BQ235" s="227"/>
      <c r="BR235" s="227"/>
      <c r="BS235" s="227"/>
      <c r="BT235" s="227"/>
      <c r="BU235" s="227"/>
    </row>
    <row r="236" spans="1:73" x14ac:dyDescent="0.2">
      <c r="A236" s="113"/>
      <c r="B236" s="33">
        <v>55</v>
      </c>
      <c r="C236" s="236" t="s">
        <v>317</v>
      </c>
      <c r="D236" s="539" t="s">
        <v>466</v>
      </c>
      <c r="E236" s="540"/>
      <c r="F236" s="540"/>
      <c r="G236" s="540"/>
      <c r="H236" s="540"/>
      <c r="I236" s="541"/>
      <c r="J236" s="254">
        <f>Referentieproject!J156</f>
        <v>0</v>
      </c>
      <c r="K236" s="129">
        <f>Referentieproject!K156</f>
        <v>0</v>
      </c>
      <c r="L236" s="130">
        <f>Referentieproject!L156</f>
        <v>0</v>
      </c>
      <c r="M236" s="131">
        <f>Referentieproject!M156</f>
        <v>0</v>
      </c>
      <c r="N236" s="129">
        <f>Referentieproject!N156</f>
        <v>0</v>
      </c>
      <c r="O236" s="130">
        <f>Referentieproject!O156</f>
        <v>0</v>
      </c>
      <c r="T236" s="227"/>
      <c r="U236" s="227"/>
      <c r="V236" s="227"/>
      <c r="W236" s="227"/>
      <c r="X236" s="227"/>
      <c r="Y236" s="227"/>
      <c r="Z236" s="227"/>
      <c r="AA236" s="35"/>
      <c r="AB236" s="35"/>
      <c r="AC236" s="35"/>
      <c r="AD236" s="35"/>
      <c r="AE236" s="35"/>
      <c r="AF236" s="227"/>
      <c r="AG236" s="35"/>
      <c r="AH236" s="35"/>
      <c r="AI236" s="35"/>
      <c r="AJ236" s="35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27"/>
      <c r="AV236" s="227"/>
      <c r="AW236" s="227"/>
      <c r="AX236" s="227"/>
      <c r="AY236" s="227"/>
      <c r="AZ236" s="227"/>
      <c r="BA236" s="227"/>
      <c r="BB236" s="227"/>
      <c r="BC236" s="227"/>
      <c r="BD236" s="227"/>
      <c r="BE236" s="227"/>
      <c r="BF236" s="227"/>
      <c r="BG236" s="227"/>
      <c r="BH236" s="35"/>
      <c r="BI236" s="35"/>
      <c r="BJ236" s="56"/>
      <c r="BK236" s="47"/>
      <c r="BL236" s="234"/>
      <c r="BM236" s="234"/>
      <c r="BN236" s="234"/>
      <c r="BO236" s="234"/>
      <c r="BP236" s="234"/>
      <c r="BQ236" s="227"/>
      <c r="BR236" s="227"/>
      <c r="BS236" s="227"/>
      <c r="BT236" s="227"/>
      <c r="BU236" s="227"/>
    </row>
    <row r="237" spans="1:73" x14ac:dyDescent="0.2">
      <c r="A237" s="113"/>
      <c r="B237" s="33">
        <v>56</v>
      </c>
      <c r="C237" s="236" t="s">
        <v>318</v>
      </c>
      <c r="D237" s="539" t="s">
        <v>467</v>
      </c>
      <c r="E237" s="540"/>
      <c r="F237" s="540"/>
      <c r="G237" s="540"/>
      <c r="H237" s="540"/>
      <c r="I237" s="541"/>
      <c r="J237" s="254">
        <f>Referentieproject!J157</f>
        <v>7542</v>
      </c>
      <c r="K237" s="129">
        <f>Referentieproject!K157</f>
        <v>975.69609548753476</v>
      </c>
      <c r="L237" s="130">
        <f>Referentieproject!L157</f>
        <v>2548.2840661499213</v>
      </c>
      <c r="M237" s="131">
        <f>Referentieproject!M157</f>
        <v>38734.96793526761</v>
      </c>
      <c r="N237" s="129">
        <f>Referentieproject!N157</f>
        <v>265.99608773776146</v>
      </c>
      <c r="O237" s="130">
        <f>Referentieproject!O157</f>
        <v>907.82468962701557</v>
      </c>
      <c r="T237" s="227"/>
      <c r="U237" s="227"/>
      <c r="V237" s="227"/>
      <c r="W237" s="227"/>
      <c r="X237" s="227"/>
      <c r="Y237" s="227"/>
      <c r="Z237" s="227"/>
      <c r="AA237" s="35"/>
      <c r="AB237" s="35"/>
      <c r="AC237" s="35"/>
      <c r="AD237" s="35"/>
      <c r="AE237" s="35"/>
      <c r="AF237" s="227"/>
      <c r="AG237" s="35"/>
      <c r="AH237" s="35"/>
      <c r="AI237" s="35"/>
      <c r="AJ237" s="35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227"/>
      <c r="AW237" s="227"/>
      <c r="AX237" s="227"/>
      <c r="AY237" s="227"/>
      <c r="AZ237" s="227"/>
      <c r="BA237" s="227"/>
      <c r="BB237" s="227"/>
      <c r="BC237" s="227"/>
      <c r="BD237" s="227"/>
      <c r="BE237" s="227"/>
      <c r="BF237" s="227"/>
      <c r="BG237" s="227"/>
      <c r="BH237" s="35"/>
      <c r="BI237" s="35"/>
      <c r="BJ237" s="56"/>
      <c r="BK237" s="47"/>
      <c r="BL237" s="234"/>
      <c r="BM237" s="234"/>
      <c r="BN237" s="234"/>
      <c r="BO237" s="234"/>
      <c r="BP237" s="234"/>
      <c r="BQ237" s="227"/>
      <c r="BR237" s="227"/>
      <c r="BS237" s="227"/>
      <c r="BT237" s="227"/>
      <c r="BU237" s="227"/>
    </row>
    <row r="238" spans="1:73" x14ac:dyDescent="0.2">
      <c r="A238" s="113"/>
      <c r="B238" s="33">
        <v>57</v>
      </c>
      <c r="C238" s="236" t="s">
        <v>319</v>
      </c>
      <c r="D238" s="539" t="s">
        <v>468</v>
      </c>
      <c r="E238" s="540"/>
      <c r="F238" s="540"/>
      <c r="G238" s="540"/>
      <c r="H238" s="540"/>
      <c r="I238" s="541"/>
      <c r="J238" s="254">
        <f>Referentieproject!J158</f>
        <v>1440</v>
      </c>
      <c r="K238" s="129">
        <f>Referentieproject!K158</f>
        <v>346.66281470456988</v>
      </c>
      <c r="L238" s="130">
        <f>Referentieproject!L158</f>
        <v>926.04275234683757</v>
      </c>
      <c r="M238" s="131">
        <f>Referentieproject!M158</f>
        <v>14316.416785393794</v>
      </c>
      <c r="N238" s="129">
        <f>Referentieproject!N158</f>
        <v>87.66333249660029</v>
      </c>
      <c r="O238" s="130">
        <f>Referentieproject!O158</f>
        <v>498.22770524544842</v>
      </c>
      <c r="T238" s="227"/>
      <c r="U238" s="227"/>
      <c r="V238" s="227"/>
      <c r="W238" s="227"/>
      <c r="X238" s="227"/>
      <c r="Y238" s="227"/>
      <c r="Z238" s="227"/>
      <c r="AA238" s="35"/>
      <c r="AB238" s="35"/>
      <c r="AC238" s="35"/>
      <c r="AD238" s="35"/>
      <c r="AE238" s="35"/>
      <c r="AF238" s="227"/>
      <c r="AG238" s="35"/>
      <c r="AH238" s="35"/>
      <c r="AI238" s="35"/>
      <c r="AJ238" s="35"/>
      <c r="AK238" s="227"/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27"/>
      <c r="AV238" s="227"/>
      <c r="AW238" s="227"/>
      <c r="AX238" s="227"/>
      <c r="AY238" s="227"/>
      <c r="AZ238" s="227"/>
      <c r="BA238" s="227"/>
      <c r="BB238" s="227"/>
      <c r="BC238" s="227"/>
      <c r="BD238" s="227"/>
      <c r="BE238" s="227"/>
      <c r="BF238" s="227"/>
      <c r="BG238" s="227"/>
      <c r="BH238" s="35"/>
      <c r="BI238" s="35"/>
      <c r="BJ238" s="56"/>
      <c r="BK238" s="47"/>
      <c r="BL238" s="234"/>
      <c r="BM238" s="234"/>
      <c r="BN238" s="234"/>
      <c r="BO238" s="234"/>
      <c r="BP238" s="234"/>
      <c r="BQ238" s="227"/>
      <c r="BR238" s="227"/>
      <c r="BS238" s="227"/>
      <c r="BT238" s="227"/>
      <c r="BU238" s="227"/>
    </row>
    <row r="239" spans="1:73" x14ac:dyDescent="0.2">
      <c r="A239" s="113"/>
      <c r="B239" s="33">
        <v>58</v>
      </c>
      <c r="C239" s="236" t="s">
        <v>320</v>
      </c>
      <c r="D239" s="542"/>
      <c r="E239" s="543"/>
      <c r="F239" s="543"/>
      <c r="G239" s="543"/>
      <c r="H239" s="543"/>
      <c r="I239" s="544"/>
      <c r="J239" s="254">
        <f>Referentieproject!J159</f>
        <v>0</v>
      </c>
      <c r="K239" s="129">
        <f>Referentieproject!K159</f>
        <v>0</v>
      </c>
      <c r="L239" s="130">
        <f>Referentieproject!L159</f>
        <v>0</v>
      </c>
      <c r="M239" s="131">
        <f>Referentieproject!M159</f>
        <v>0</v>
      </c>
      <c r="N239" s="129">
        <f>Referentieproject!N159</f>
        <v>0</v>
      </c>
      <c r="O239" s="130">
        <f>Referentieproject!O159</f>
        <v>0</v>
      </c>
      <c r="T239" s="227"/>
      <c r="U239" s="227"/>
      <c r="V239" s="227"/>
      <c r="W239" s="227"/>
      <c r="X239" s="227"/>
      <c r="Y239" s="227"/>
      <c r="Z239" s="227"/>
      <c r="AA239" s="35"/>
      <c r="AB239" s="35"/>
      <c r="AC239" s="35"/>
      <c r="AD239" s="35"/>
      <c r="AE239" s="35"/>
      <c r="AF239" s="227"/>
      <c r="AG239" s="35"/>
      <c r="AH239" s="35"/>
      <c r="AI239" s="35"/>
      <c r="AJ239" s="35"/>
      <c r="AK239" s="227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227"/>
      <c r="AW239" s="227"/>
      <c r="AX239" s="227"/>
      <c r="AY239" s="227"/>
      <c r="AZ239" s="227"/>
      <c r="BA239" s="227"/>
      <c r="BB239" s="227"/>
      <c r="BC239" s="227"/>
      <c r="BD239" s="227"/>
      <c r="BE239" s="227"/>
      <c r="BF239" s="227"/>
      <c r="BG239" s="227"/>
      <c r="BH239" s="35"/>
      <c r="BI239" s="35"/>
      <c r="BJ239" s="56"/>
      <c r="BK239" s="47"/>
      <c r="BL239" s="234"/>
      <c r="BM239" s="234"/>
      <c r="BN239" s="234"/>
      <c r="BO239" s="234"/>
      <c r="BP239" s="234"/>
      <c r="BQ239" s="227"/>
      <c r="BR239" s="227"/>
      <c r="BS239" s="227"/>
      <c r="BT239" s="227"/>
      <c r="BU239" s="227"/>
    </row>
    <row r="240" spans="1:73" x14ac:dyDescent="0.2">
      <c r="A240" s="120" t="s">
        <v>173</v>
      </c>
      <c r="C240" s="235" t="s">
        <v>11</v>
      </c>
      <c r="D240" s="272"/>
      <c r="E240" s="186"/>
      <c r="F240" s="186"/>
      <c r="G240" s="186"/>
      <c r="H240" s="186"/>
      <c r="I240" s="273"/>
      <c r="J240" s="254"/>
      <c r="K240" s="129"/>
      <c r="L240" s="130"/>
      <c r="M240" s="131"/>
      <c r="N240" s="129"/>
      <c r="O240" s="130"/>
      <c r="P240" s="84"/>
      <c r="Q240" s="79"/>
      <c r="T240" s="227"/>
      <c r="U240" s="227"/>
      <c r="V240" s="227"/>
      <c r="W240" s="227"/>
      <c r="X240" s="227"/>
      <c r="Y240" s="227"/>
      <c r="Z240" s="227"/>
      <c r="AA240" s="35"/>
      <c r="AB240" s="35"/>
      <c r="AC240" s="35"/>
      <c r="AD240" s="35"/>
      <c r="AE240" s="35"/>
      <c r="AF240" s="227"/>
      <c r="AG240" s="35"/>
      <c r="AH240" s="35"/>
      <c r="AI240" s="35"/>
      <c r="AJ240" s="35"/>
      <c r="AK240" s="227"/>
      <c r="AL240" s="227"/>
      <c r="AM240" s="227"/>
      <c r="AN240" s="227"/>
      <c r="AO240" s="227"/>
      <c r="AP240" s="227"/>
      <c r="AQ240" s="227"/>
      <c r="AR240" s="227"/>
      <c r="AS240" s="227"/>
      <c r="AT240" s="227"/>
      <c r="AU240" s="227"/>
      <c r="AV240" s="227"/>
      <c r="AW240" s="227"/>
      <c r="AX240" s="227"/>
      <c r="AY240" s="227"/>
      <c r="AZ240" s="227"/>
      <c r="BA240" s="227"/>
      <c r="BB240" s="227"/>
      <c r="BC240" s="227"/>
      <c r="BD240" s="227"/>
      <c r="BE240" s="227"/>
      <c r="BF240" s="227"/>
      <c r="BG240" s="227"/>
      <c r="BH240" s="35"/>
      <c r="BI240" s="35"/>
      <c r="BJ240" s="56"/>
      <c r="BK240" s="47"/>
      <c r="BL240" s="234"/>
      <c r="BM240" s="234"/>
      <c r="BN240" s="234"/>
      <c r="BO240" s="234"/>
      <c r="BP240" s="234"/>
      <c r="BQ240" s="227"/>
      <c r="BR240" s="227"/>
      <c r="BS240" s="227"/>
      <c r="BT240" s="227"/>
      <c r="BU240" s="227"/>
    </row>
    <row r="241" spans="1:73" x14ac:dyDescent="0.2">
      <c r="A241" s="113"/>
      <c r="B241" s="33">
        <v>61</v>
      </c>
      <c r="C241" s="236" t="s">
        <v>321</v>
      </c>
      <c r="D241" s="145" t="str">
        <f>Referentieproject!T161</f>
        <v>1 woningbouw (veiligheidsaarding)</v>
      </c>
      <c r="E241" s="133"/>
      <c r="F241" s="133"/>
      <c r="G241" s="133"/>
      <c r="H241" s="133"/>
      <c r="I241" s="128"/>
      <c r="J241" s="254">
        <f>Referentieproject!J161</f>
        <v>300.15450000134933</v>
      </c>
      <c r="K241" s="129">
        <f>Referentieproject!K161</f>
        <v>51.00524999999152</v>
      </c>
      <c r="L241" s="130">
        <f>Referentieproject!L161</f>
        <v>172.51875000090422</v>
      </c>
      <c r="M241" s="131">
        <f>Referentieproject!M161</f>
        <v>2875.9747499978403</v>
      </c>
      <c r="N241" s="129">
        <f>Referentieproject!N161</f>
        <v>18.256500000069309</v>
      </c>
      <c r="O241" s="130">
        <f>Referentieproject!O161</f>
        <v>23.166000000071563</v>
      </c>
      <c r="T241" s="227"/>
      <c r="U241" s="227"/>
      <c r="V241" s="227"/>
      <c r="W241" s="227"/>
      <c r="X241" s="227"/>
      <c r="Y241" s="227"/>
      <c r="Z241" s="227"/>
      <c r="AA241" s="35"/>
      <c r="AB241" s="35"/>
      <c r="AC241" s="35"/>
      <c r="AD241" s="35"/>
      <c r="AE241" s="35"/>
      <c r="AF241" s="227"/>
      <c r="AG241" s="35"/>
      <c r="AH241" s="35"/>
      <c r="AI241" s="35"/>
      <c r="AJ241" s="35"/>
      <c r="AK241" s="227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27"/>
      <c r="AV241" s="227"/>
      <c r="AW241" s="227"/>
      <c r="AX241" s="227"/>
      <c r="AY241" s="227"/>
      <c r="AZ241" s="227"/>
      <c r="BA241" s="227"/>
      <c r="BB241" s="227"/>
      <c r="BC241" s="227"/>
      <c r="BD241" s="227"/>
      <c r="BE241" s="227"/>
      <c r="BF241" s="227"/>
      <c r="BG241" s="227"/>
      <c r="BH241" s="35"/>
      <c r="BI241" s="35"/>
      <c r="BJ241" s="56"/>
      <c r="BK241" s="47"/>
      <c r="BL241" s="234"/>
      <c r="BM241" s="234"/>
      <c r="BN241" s="234"/>
      <c r="BO241" s="234"/>
      <c r="BP241" s="234"/>
      <c r="BQ241" s="227"/>
      <c r="BR241" s="227"/>
      <c r="BS241" s="227"/>
      <c r="BT241" s="227"/>
      <c r="BU241" s="227"/>
    </row>
    <row r="242" spans="1:73" x14ac:dyDescent="0.2">
      <c r="A242" s="113"/>
      <c r="B242" s="33">
        <v>62</v>
      </c>
      <c r="C242" s="236" t="s">
        <v>322</v>
      </c>
      <c r="D242" s="145" t="str">
        <f>Referentieproject!T162</f>
        <v>5 n.v.t.</v>
      </c>
      <c r="E242" s="133"/>
      <c r="F242" s="133"/>
      <c r="G242" s="133"/>
      <c r="H242" s="133"/>
      <c r="I242" s="128"/>
      <c r="J242" s="254">
        <f>Referentieproject!J162</f>
        <v>0</v>
      </c>
      <c r="K242" s="129">
        <f>Referentieproject!K162</f>
        <v>0</v>
      </c>
      <c r="L242" s="130">
        <f>Referentieproject!L162</f>
        <v>0</v>
      </c>
      <c r="M242" s="131">
        <f>Referentieproject!M162</f>
        <v>0</v>
      </c>
      <c r="N242" s="129">
        <f>Referentieproject!N162</f>
        <v>0</v>
      </c>
      <c r="O242" s="130">
        <f>Referentieproject!O162</f>
        <v>0</v>
      </c>
      <c r="T242" s="227"/>
      <c r="U242" s="227"/>
      <c r="V242" s="227"/>
      <c r="W242" s="227"/>
      <c r="X242" s="227"/>
      <c r="Y242" s="227"/>
      <c r="Z242" s="227"/>
      <c r="AA242" s="35"/>
      <c r="AB242" s="35"/>
      <c r="AC242" s="35"/>
      <c r="AD242" s="35"/>
      <c r="AE242" s="35"/>
      <c r="AF242" s="227"/>
      <c r="AG242" s="35"/>
      <c r="AH242" s="35"/>
      <c r="AI242" s="35"/>
      <c r="AJ242" s="35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27"/>
      <c r="AW242" s="227"/>
      <c r="AX242" s="227"/>
      <c r="AY242" s="227"/>
      <c r="AZ242" s="227"/>
      <c r="BA242" s="227"/>
      <c r="BB242" s="227"/>
      <c r="BC242" s="227"/>
      <c r="BD242" s="227"/>
      <c r="BE242" s="227"/>
      <c r="BF242" s="227"/>
      <c r="BG242" s="227"/>
      <c r="BH242" s="35"/>
      <c r="BI242" s="35"/>
      <c r="BJ242" s="56"/>
      <c r="BK242" s="47"/>
      <c r="BL242" s="234"/>
      <c r="BM242" s="234"/>
      <c r="BN242" s="234"/>
      <c r="BO242" s="234"/>
      <c r="BP242" s="234"/>
      <c r="BQ242" s="227"/>
      <c r="BR242" s="227"/>
      <c r="BS242" s="227"/>
      <c r="BT242" s="227"/>
      <c r="BU242" s="227"/>
    </row>
    <row r="243" spans="1:73" x14ac:dyDescent="0.2">
      <c r="A243" s="113"/>
      <c r="B243" s="33">
        <v>63</v>
      </c>
      <c r="C243" s="236" t="s">
        <v>323</v>
      </c>
      <c r="D243" s="145" t="str">
        <f>Referentieproject!T163</f>
        <v>1 woningbouw</v>
      </c>
      <c r="E243" s="133"/>
      <c r="F243" s="133"/>
      <c r="G243" s="133"/>
      <c r="H243" s="133"/>
      <c r="I243" s="128"/>
      <c r="J243" s="254">
        <f>Referentieproject!J163</f>
        <v>4659.1393800001242</v>
      </c>
      <c r="K243" s="129">
        <f>Referentieproject!K163</f>
        <v>690.84277499974291</v>
      </c>
      <c r="L243" s="130">
        <f>Referentieproject!L163</f>
        <v>1521.1009800000738</v>
      </c>
      <c r="M243" s="131">
        <f>Referentieproject!M163</f>
        <v>24433.618575000764</v>
      </c>
      <c r="N243" s="129">
        <f>Referentieproject!N163</f>
        <v>207.19885499995598</v>
      </c>
      <c r="O243" s="130">
        <f>Referentieproject!O163</f>
        <v>1309.9724789996628</v>
      </c>
      <c r="T243" s="227"/>
      <c r="U243" s="227"/>
      <c r="V243" s="227"/>
      <c r="W243" s="227"/>
      <c r="X243" s="227"/>
      <c r="Y243" s="227"/>
      <c r="Z243" s="227"/>
      <c r="AA243" s="35"/>
      <c r="AB243" s="35"/>
      <c r="AC243" s="35"/>
      <c r="AD243" s="35"/>
      <c r="AE243" s="35"/>
      <c r="AF243" s="227"/>
      <c r="AG243" s="35"/>
      <c r="AH243" s="35"/>
      <c r="AI243" s="35"/>
      <c r="AJ243" s="35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  <c r="AY243" s="227"/>
      <c r="AZ243" s="227"/>
      <c r="BA243" s="227"/>
      <c r="BB243" s="227"/>
      <c r="BC243" s="227"/>
      <c r="BD243" s="227"/>
      <c r="BE243" s="227"/>
      <c r="BF243" s="227"/>
      <c r="BG243" s="227"/>
      <c r="BH243" s="35"/>
      <c r="BI243" s="35"/>
      <c r="BJ243" s="56"/>
      <c r="BK243" s="47"/>
      <c r="BL243" s="234"/>
      <c r="BM243" s="234"/>
      <c r="BN243" s="234"/>
      <c r="BO243" s="234"/>
      <c r="BP243" s="234"/>
      <c r="BQ243" s="227"/>
      <c r="BR243" s="227"/>
      <c r="BS243" s="227"/>
      <c r="BT243" s="227"/>
      <c r="BU243" s="227"/>
    </row>
    <row r="244" spans="1:73" x14ac:dyDescent="0.2">
      <c r="A244" s="113"/>
      <c r="B244" s="33">
        <v>64</v>
      </c>
      <c r="C244" s="236" t="s">
        <v>324</v>
      </c>
      <c r="D244" s="145" t="str">
        <f>Referentieproject!T164</f>
        <v>1 woningbouw</v>
      </c>
      <c r="E244" s="133"/>
      <c r="F244" s="133"/>
      <c r="G244" s="133"/>
      <c r="H244" s="133"/>
      <c r="I244" s="128"/>
      <c r="J244" s="254">
        <f>Referentieproject!J164</f>
        <v>657.4548750005988</v>
      </c>
      <c r="K244" s="129">
        <f>Referentieproject!K164</f>
        <v>65.127000000131829</v>
      </c>
      <c r="L244" s="130">
        <f>Referentieproject!L164</f>
        <v>192.53400000025067</v>
      </c>
      <c r="M244" s="131">
        <f>Referentieproject!M164</f>
        <v>3587.239125000815</v>
      </c>
      <c r="N244" s="129">
        <f>Referentieproject!N164</f>
        <v>19.618874999980562</v>
      </c>
      <c r="O244" s="130">
        <f>Referentieproject!O164</f>
        <v>58.905000000015661</v>
      </c>
      <c r="T244" s="227"/>
      <c r="U244" s="227"/>
      <c r="V244" s="227"/>
      <c r="W244" s="227"/>
      <c r="X244" s="227"/>
      <c r="Y244" s="227"/>
      <c r="Z244" s="227"/>
      <c r="AA244" s="35"/>
      <c r="AB244" s="35"/>
      <c r="AC244" s="35"/>
      <c r="AD244" s="35"/>
      <c r="AE244" s="35"/>
      <c r="AF244" s="227"/>
      <c r="AG244" s="35"/>
      <c r="AH244" s="35"/>
      <c r="AI244" s="35"/>
      <c r="AJ244" s="35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  <c r="AY244" s="227"/>
      <c r="AZ244" s="227"/>
      <c r="BA244" s="227"/>
      <c r="BB244" s="227"/>
      <c r="BC244" s="227"/>
      <c r="BD244" s="227"/>
      <c r="BE244" s="227"/>
      <c r="BF244" s="227"/>
      <c r="BG244" s="227"/>
      <c r="BH244" s="35"/>
      <c r="BI244" s="35"/>
      <c r="BJ244" s="56"/>
      <c r="BK244" s="47"/>
      <c r="BL244" s="234"/>
      <c r="BM244" s="234"/>
      <c r="BN244" s="234"/>
      <c r="BO244" s="234"/>
      <c r="BP244" s="234"/>
      <c r="BQ244" s="227"/>
      <c r="BR244" s="227"/>
      <c r="BS244" s="227"/>
      <c r="BT244" s="227"/>
      <c r="BU244" s="227"/>
    </row>
    <row r="245" spans="1:73" x14ac:dyDescent="0.2">
      <c r="A245" s="113"/>
      <c r="B245" s="33">
        <v>65</v>
      </c>
      <c r="C245" s="236" t="s">
        <v>325</v>
      </c>
      <c r="D245" s="145" t="str">
        <f>Referentieproject!T165</f>
        <v>1 woningbouw (alleen brand)</v>
      </c>
      <c r="E245" s="133"/>
      <c r="F245" s="133"/>
      <c r="G245" s="133"/>
      <c r="H245" s="133"/>
      <c r="I245" s="128"/>
      <c r="J245" s="254">
        <f>Referentieproject!J165</f>
        <v>206.75400000015998</v>
      </c>
      <c r="K245" s="129">
        <f>Referentieproject!K165</f>
        <v>35.151749999977255</v>
      </c>
      <c r="L245" s="130">
        <f>Referentieproject!L165</f>
        <v>118.84274999999889</v>
      </c>
      <c r="M245" s="131">
        <f>Referentieproject!M165</f>
        <v>1981.3117499994405</v>
      </c>
      <c r="N245" s="129">
        <f>Referentieproject!N165</f>
        <v>12.584249999980557</v>
      </c>
      <c r="O245" s="130">
        <f>Referentieproject!O165</f>
        <v>26.774999999997817</v>
      </c>
      <c r="T245" s="227"/>
      <c r="U245" s="227"/>
      <c r="V245" s="227"/>
      <c r="W245" s="227"/>
      <c r="X245" s="227"/>
      <c r="Y245" s="227"/>
      <c r="Z245" s="227"/>
      <c r="AA245" s="35"/>
      <c r="AB245" s="35"/>
      <c r="AC245" s="35"/>
      <c r="AD245" s="35"/>
      <c r="AE245" s="35"/>
      <c r="AF245" s="227"/>
      <c r="AG245" s="35"/>
      <c r="AH245" s="35"/>
      <c r="AI245" s="35"/>
      <c r="AJ245" s="35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  <c r="BC245" s="227"/>
      <c r="BD245" s="227"/>
      <c r="BE245" s="227"/>
      <c r="BF245" s="227"/>
      <c r="BG245" s="227"/>
      <c r="BH245" s="35"/>
      <c r="BI245" s="35"/>
      <c r="BJ245" s="56"/>
      <c r="BK245" s="47"/>
      <c r="BL245" s="234"/>
      <c r="BM245" s="234"/>
      <c r="BN245" s="234"/>
      <c r="BO245" s="234"/>
      <c r="BP245" s="234"/>
      <c r="BQ245" s="227"/>
      <c r="BR245" s="227"/>
      <c r="BS245" s="227"/>
      <c r="BT245" s="227"/>
      <c r="BU245" s="227"/>
    </row>
    <row r="246" spans="1:73" x14ac:dyDescent="0.2">
      <c r="A246" s="113"/>
      <c r="B246" s="33">
        <v>67</v>
      </c>
      <c r="C246" s="236" t="s">
        <v>330</v>
      </c>
      <c r="D246" s="145" t="str">
        <f>Referentieproject!T166</f>
        <v>5 n.v.t.</v>
      </c>
      <c r="E246" s="133"/>
      <c r="F246" s="133"/>
      <c r="G246" s="133"/>
      <c r="H246" s="133"/>
      <c r="I246" s="128"/>
      <c r="J246" s="254">
        <f>Referentieproject!J166</f>
        <v>0</v>
      </c>
      <c r="K246" s="129">
        <f>Referentieproject!K166</f>
        <v>0</v>
      </c>
      <c r="L246" s="130">
        <f>Referentieproject!L166</f>
        <v>0</v>
      </c>
      <c r="M246" s="131">
        <f>Referentieproject!M166</f>
        <v>0</v>
      </c>
      <c r="N246" s="129">
        <f>Referentieproject!N166</f>
        <v>0</v>
      </c>
      <c r="O246" s="130">
        <f>Referentieproject!O166</f>
        <v>0</v>
      </c>
      <c r="T246" s="227"/>
      <c r="U246" s="227"/>
      <c r="V246" s="227"/>
      <c r="W246" s="227"/>
      <c r="X246" s="227"/>
      <c r="Y246" s="227"/>
      <c r="Z246" s="227"/>
      <c r="AA246" s="35"/>
      <c r="AB246" s="35"/>
      <c r="AC246" s="35"/>
      <c r="AD246" s="35"/>
      <c r="AE246" s="35"/>
      <c r="AF246" s="227"/>
      <c r="AG246" s="35"/>
      <c r="AH246" s="35"/>
      <c r="AI246" s="35"/>
      <c r="AJ246" s="35"/>
      <c r="AK246" s="227"/>
      <c r="AL246" s="227"/>
      <c r="AM246" s="227"/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7"/>
      <c r="AY246" s="227"/>
      <c r="AZ246" s="227"/>
      <c r="BA246" s="227"/>
      <c r="BB246" s="227"/>
      <c r="BC246" s="227"/>
      <c r="BD246" s="227"/>
      <c r="BE246" s="227"/>
      <c r="BF246" s="227"/>
      <c r="BG246" s="227"/>
      <c r="BH246" s="35"/>
      <c r="BI246" s="35"/>
      <c r="BJ246" s="56"/>
      <c r="BK246" s="47"/>
      <c r="BL246" s="234"/>
      <c r="BM246" s="234"/>
      <c r="BN246" s="234"/>
      <c r="BO246" s="234"/>
      <c r="BP246" s="234"/>
      <c r="BQ246" s="227"/>
      <c r="BR246" s="227"/>
      <c r="BS246" s="227"/>
      <c r="BT246" s="227"/>
      <c r="BU246" s="227"/>
    </row>
    <row r="247" spans="1:73" x14ac:dyDescent="0.2">
      <c r="A247" s="120" t="s">
        <v>174</v>
      </c>
      <c r="C247" s="235" t="s">
        <v>12</v>
      </c>
      <c r="D247" s="145"/>
      <c r="E247" s="133"/>
      <c r="F247" s="133"/>
      <c r="G247" s="133"/>
      <c r="H247" s="133"/>
      <c r="I247" s="128"/>
      <c r="J247" s="254"/>
      <c r="K247" s="129"/>
      <c r="L247" s="130"/>
      <c r="M247" s="131"/>
      <c r="N247" s="129"/>
      <c r="O247" s="130"/>
      <c r="P247" s="84"/>
      <c r="Q247" s="79"/>
      <c r="T247" s="227"/>
      <c r="U247" s="227"/>
      <c r="V247" s="227"/>
      <c r="W247" s="227"/>
      <c r="X247" s="227"/>
      <c r="Y247" s="227"/>
      <c r="Z247" s="227"/>
      <c r="AA247" s="35"/>
      <c r="AB247" s="35"/>
      <c r="AC247" s="35"/>
      <c r="AD247" s="35"/>
      <c r="AE247" s="35"/>
      <c r="AF247" s="227"/>
      <c r="AG247" s="35"/>
      <c r="AH247" s="35"/>
      <c r="AI247" s="35"/>
      <c r="AJ247" s="35"/>
      <c r="AK247" s="227"/>
      <c r="AL247" s="227"/>
      <c r="AM247" s="227"/>
      <c r="AN247" s="227"/>
      <c r="AO247" s="227"/>
      <c r="AP247" s="227"/>
      <c r="AQ247" s="227"/>
      <c r="AR247" s="227"/>
      <c r="AS247" s="227"/>
      <c r="AT247" s="227"/>
      <c r="AU247" s="227"/>
      <c r="AV247" s="227"/>
      <c r="AW247" s="227"/>
      <c r="AX247" s="227"/>
      <c r="AY247" s="227"/>
      <c r="AZ247" s="227"/>
      <c r="BA247" s="227"/>
      <c r="BB247" s="227"/>
      <c r="BC247" s="227"/>
      <c r="BD247" s="227"/>
      <c r="BE247" s="227"/>
      <c r="BF247" s="227"/>
      <c r="BG247" s="227"/>
      <c r="BH247" s="35"/>
      <c r="BI247" s="35"/>
      <c r="BJ247" s="56"/>
      <c r="BK247" s="47"/>
      <c r="BL247" s="234"/>
      <c r="BM247" s="234"/>
      <c r="BN247" s="234"/>
      <c r="BO247" s="234"/>
      <c r="BP247" s="234"/>
      <c r="BQ247" s="227"/>
      <c r="BR247" s="227"/>
      <c r="BS247" s="227"/>
      <c r="BT247" s="227"/>
      <c r="BU247" s="227"/>
    </row>
    <row r="248" spans="1:73" x14ac:dyDescent="0.2">
      <c r="A248" s="113"/>
      <c r="B248" s="33">
        <v>66</v>
      </c>
      <c r="C248" s="236" t="s">
        <v>57</v>
      </c>
      <c r="D248" s="145" t="str">
        <f>Referentieproject!T168</f>
        <v>2 personenlift (tot 8 personen)</v>
      </c>
      <c r="E248" s="133"/>
      <c r="F248" s="133"/>
      <c r="G248" s="133"/>
      <c r="H248" s="133"/>
      <c r="I248" s="128"/>
      <c r="J248" s="254">
        <f>Referentieproject!J168</f>
        <v>5634.6366822429691</v>
      </c>
      <c r="K248" s="129">
        <f>Referentieproject!K168</f>
        <v>1231.3498831775669</v>
      </c>
      <c r="L248" s="130">
        <f>Referentieproject!L168</f>
        <v>3299.4602803738289</v>
      </c>
      <c r="M248" s="131">
        <f>Referentieproject!M168</f>
        <v>48356.438084112189</v>
      </c>
      <c r="N248" s="129">
        <f>Referentieproject!N168</f>
        <v>341.5122663551407</v>
      </c>
      <c r="O248" s="130">
        <f>Referentieproject!O168</f>
        <v>647.80023364485658</v>
      </c>
      <c r="T248" s="227"/>
      <c r="U248" s="227"/>
      <c r="V248" s="227"/>
      <c r="W248" s="227"/>
      <c r="X248" s="227"/>
      <c r="Y248" s="227"/>
      <c r="Z248" s="227"/>
      <c r="AA248" s="35"/>
      <c r="AB248" s="35"/>
      <c r="AC248" s="35"/>
      <c r="AD248" s="35"/>
      <c r="AE248" s="35"/>
      <c r="AF248" s="227"/>
      <c r="AG248" s="35"/>
      <c r="AH248" s="35"/>
      <c r="AI248" s="35"/>
      <c r="AJ248" s="35"/>
      <c r="AK248" s="227"/>
      <c r="AL248" s="227"/>
      <c r="AM248" s="227"/>
      <c r="AN248" s="227"/>
      <c r="AO248" s="227"/>
      <c r="AP248" s="227"/>
      <c r="AQ248" s="227"/>
      <c r="AR248" s="227"/>
      <c r="AS248" s="227"/>
      <c r="AT248" s="227"/>
      <c r="AU248" s="227"/>
      <c r="AV248" s="227"/>
      <c r="AW248" s="227"/>
      <c r="AX248" s="227"/>
      <c r="AY248" s="227"/>
      <c r="AZ248" s="227"/>
      <c r="BA248" s="227"/>
      <c r="BB248" s="227"/>
      <c r="BC248" s="227"/>
      <c r="BD248" s="227"/>
      <c r="BE248" s="227"/>
      <c r="BF248" s="227"/>
      <c r="BG248" s="227"/>
      <c r="BH248" s="35"/>
      <c r="BI248" s="35"/>
      <c r="BJ248" s="56"/>
      <c r="BK248" s="47"/>
      <c r="BL248" s="234"/>
      <c r="BM248" s="234"/>
      <c r="BN248" s="234"/>
      <c r="BO248" s="234"/>
      <c r="BP248" s="234"/>
      <c r="BQ248" s="227"/>
      <c r="BR248" s="227"/>
      <c r="BS248" s="227"/>
      <c r="BT248" s="227"/>
      <c r="BU248" s="227"/>
    </row>
    <row r="249" spans="1:73" x14ac:dyDescent="0.2">
      <c r="A249" s="113"/>
      <c r="C249" s="146" t="s">
        <v>235</v>
      </c>
      <c r="D249" s="145"/>
      <c r="E249" s="133"/>
      <c r="F249" s="133"/>
      <c r="G249" s="133"/>
      <c r="H249" s="133"/>
      <c r="I249" s="128"/>
      <c r="J249" s="254"/>
      <c r="K249" s="129"/>
      <c r="L249" s="130"/>
      <c r="M249" s="131"/>
      <c r="N249" s="129"/>
      <c r="O249" s="130"/>
      <c r="P249" s="84"/>
      <c r="Q249" s="79"/>
      <c r="T249" s="227"/>
      <c r="U249" s="227"/>
      <c r="V249" s="227"/>
      <c r="W249" s="227"/>
      <c r="X249" s="227"/>
      <c r="Y249" s="227"/>
      <c r="Z249" s="227"/>
      <c r="AA249" s="35"/>
      <c r="AB249" s="36"/>
      <c r="AC249" s="36"/>
      <c r="AD249" s="36"/>
      <c r="AE249" s="36"/>
      <c r="AF249" s="227"/>
      <c r="AG249" s="36"/>
      <c r="AH249" s="36"/>
      <c r="AI249" s="36"/>
      <c r="AJ249" s="36"/>
      <c r="AK249" s="227"/>
      <c r="AL249" s="227"/>
      <c r="AM249" s="227"/>
      <c r="AN249" s="227"/>
      <c r="AO249" s="227"/>
      <c r="AP249" s="227"/>
      <c r="AQ249" s="227"/>
      <c r="AR249" s="227"/>
      <c r="AS249" s="227"/>
      <c r="AT249" s="227"/>
      <c r="AU249" s="227"/>
      <c r="AV249" s="227"/>
      <c r="AW249" s="227"/>
      <c r="AX249" s="227"/>
      <c r="AY249" s="227"/>
      <c r="AZ249" s="227"/>
      <c r="BA249" s="227"/>
      <c r="BB249" s="227"/>
      <c r="BC249" s="227"/>
      <c r="BD249" s="227"/>
      <c r="BE249" s="227"/>
      <c r="BF249" s="227"/>
      <c r="BG249" s="227"/>
      <c r="BH249" s="35"/>
      <c r="BI249" s="35"/>
      <c r="BJ249" s="56"/>
      <c r="BK249" s="47"/>
      <c r="BL249" s="234"/>
      <c r="BM249" s="234"/>
      <c r="BN249" s="234"/>
      <c r="BO249" s="234"/>
      <c r="BP249" s="234"/>
      <c r="BQ249" s="227"/>
      <c r="BR249" s="227"/>
      <c r="BS249" s="227"/>
      <c r="BT249" s="227"/>
      <c r="BU249" s="227"/>
    </row>
    <row r="250" spans="1:73" x14ac:dyDescent="0.2">
      <c r="A250" s="120" t="s">
        <v>175</v>
      </c>
      <c r="C250" s="235" t="s">
        <v>241</v>
      </c>
      <c r="D250" s="145"/>
      <c r="E250" s="133"/>
      <c r="F250" s="133"/>
      <c r="G250" s="133"/>
      <c r="H250" s="133"/>
      <c r="I250" s="128"/>
      <c r="J250" s="254"/>
      <c r="K250" s="129"/>
      <c r="L250" s="130"/>
      <c r="M250" s="131"/>
      <c r="N250" s="129"/>
      <c r="O250" s="130"/>
      <c r="P250" s="84"/>
      <c r="Q250" s="79"/>
      <c r="T250" s="227"/>
      <c r="U250" s="227"/>
      <c r="V250" s="227"/>
      <c r="W250" s="227"/>
      <c r="X250" s="227"/>
      <c r="Y250" s="227"/>
      <c r="Z250" s="227"/>
      <c r="AA250" s="35"/>
      <c r="AB250" s="35"/>
      <c r="AC250" s="35"/>
      <c r="AD250" s="35"/>
      <c r="AE250" s="35"/>
      <c r="AF250" s="227"/>
      <c r="AG250" s="35"/>
      <c r="AH250" s="35"/>
      <c r="AI250" s="35"/>
      <c r="AJ250" s="35"/>
      <c r="AK250" s="227"/>
      <c r="AL250" s="227"/>
      <c r="AM250" s="227"/>
      <c r="AN250" s="227"/>
      <c r="AO250" s="227"/>
      <c r="AP250" s="227"/>
      <c r="AQ250" s="227"/>
      <c r="AR250" s="227"/>
      <c r="AS250" s="227"/>
      <c r="AT250" s="227"/>
      <c r="AU250" s="227"/>
      <c r="AV250" s="227"/>
      <c r="AW250" s="227"/>
      <c r="AX250" s="227"/>
      <c r="AY250" s="227"/>
      <c r="AZ250" s="227"/>
      <c r="BA250" s="227"/>
      <c r="BB250" s="227"/>
      <c r="BC250" s="227"/>
      <c r="BD250" s="227"/>
      <c r="BE250" s="227"/>
      <c r="BF250" s="227"/>
      <c r="BG250" s="227"/>
      <c r="BH250" s="35"/>
      <c r="BI250" s="35"/>
      <c r="BJ250" s="56"/>
      <c r="BK250" s="47"/>
      <c r="BL250" s="234"/>
      <c r="BM250" s="234"/>
      <c r="BN250" s="234"/>
      <c r="BO250" s="234"/>
      <c r="BP250" s="234"/>
      <c r="BQ250" s="227"/>
      <c r="BR250" s="227"/>
      <c r="BS250" s="227"/>
      <c r="BT250" s="227"/>
      <c r="BU250" s="227"/>
    </row>
    <row r="251" spans="1:73" x14ac:dyDescent="0.2">
      <c r="A251" s="113"/>
      <c r="B251" s="33">
        <v>70</v>
      </c>
      <c r="C251" s="236" t="s">
        <v>58</v>
      </c>
      <c r="D251" s="145" t="str">
        <f>Referentieproject!T171</f>
        <v>1 woning: sanitair+keuken basis</v>
      </c>
      <c r="E251" s="133"/>
      <c r="F251" s="133"/>
      <c r="G251" s="133"/>
      <c r="H251" s="133"/>
      <c r="I251" s="128"/>
      <c r="J251" s="254">
        <f>Referentieproject!J171</f>
        <v>4917.4992000007478</v>
      </c>
      <c r="K251" s="129">
        <f>Referentieproject!K171</f>
        <v>685.74674999999843</v>
      </c>
      <c r="L251" s="130">
        <f>Referentieproject!L171</f>
        <v>2317.0766999997795</v>
      </c>
      <c r="M251" s="131">
        <f>Referentieproject!M171</f>
        <v>37117.436250005267</v>
      </c>
      <c r="N251" s="129">
        <f>Referentieproject!N171</f>
        <v>497.01419999998961</v>
      </c>
      <c r="O251" s="130">
        <f>Referentieproject!O171</f>
        <v>475.6234349998067</v>
      </c>
      <c r="T251" s="227"/>
      <c r="U251" s="227"/>
      <c r="V251" s="227"/>
      <c r="W251" s="227"/>
      <c r="X251" s="227"/>
      <c r="Y251" s="227"/>
      <c r="Z251" s="227"/>
      <c r="AA251" s="35"/>
      <c r="AB251" s="35"/>
      <c r="AC251" s="35"/>
      <c r="AD251" s="35"/>
      <c r="AE251" s="35"/>
      <c r="AF251" s="227"/>
      <c r="AG251" s="35"/>
      <c r="AH251" s="35"/>
      <c r="AI251" s="35"/>
      <c r="AJ251" s="35"/>
      <c r="AK251" s="227"/>
      <c r="AL251" s="227"/>
      <c r="AM251" s="227"/>
      <c r="AN251" s="227"/>
      <c r="AO251" s="227"/>
      <c r="AP251" s="227"/>
      <c r="AQ251" s="227"/>
      <c r="AR251" s="227"/>
      <c r="AS251" s="227"/>
      <c r="AT251" s="227"/>
      <c r="AU251" s="227"/>
      <c r="AV251" s="227"/>
      <c r="AW251" s="227"/>
      <c r="AX251" s="227"/>
      <c r="AY251" s="227"/>
      <c r="AZ251" s="227"/>
      <c r="BA251" s="227"/>
      <c r="BB251" s="227"/>
      <c r="BC251" s="227"/>
      <c r="BD251" s="227"/>
      <c r="BE251" s="227"/>
      <c r="BF251" s="227"/>
      <c r="BG251" s="227"/>
      <c r="BH251" s="35"/>
      <c r="BI251" s="35"/>
      <c r="BJ251" s="56"/>
      <c r="BK251" s="47"/>
      <c r="BL251" s="234"/>
      <c r="BM251" s="234"/>
      <c r="BN251" s="234"/>
      <c r="BO251" s="234"/>
      <c r="BP251" s="234"/>
      <c r="BQ251" s="227"/>
      <c r="BR251" s="227"/>
      <c r="BS251" s="227"/>
      <c r="BT251" s="227"/>
      <c r="BU251" s="227"/>
    </row>
    <row r="252" spans="1:73" x14ac:dyDescent="0.2">
      <c r="A252" s="113"/>
      <c r="C252" s="146" t="s">
        <v>59</v>
      </c>
      <c r="D252" s="145"/>
      <c r="E252" s="133"/>
      <c r="F252" s="133"/>
      <c r="G252" s="133"/>
      <c r="H252" s="133"/>
      <c r="I252" s="128"/>
      <c r="J252" s="254"/>
      <c r="K252" s="129"/>
      <c r="L252" s="130"/>
      <c r="M252" s="131"/>
      <c r="N252" s="129"/>
      <c r="O252" s="130"/>
      <c r="P252" s="84"/>
      <c r="Q252" s="79"/>
      <c r="T252" s="227"/>
      <c r="U252" s="227"/>
      <c r="V252" s="227"/>
      <c r="W252" s="227"/>
      <c r="X252" s="227"/>
      <c r="Y252" s="227"/>
      <c r="Z252" s="227"/>
      <c r="AA252" s="35"/>
      <c r="AB252" s="35"/>
      <c r="AC252" s="35"/>
      <c r="AD252" s="35"/>
      <c r="AE252" s="35"/>
      <c r="AF252" s="227"/>
      <c r="AG252" s="35"/>
      <c r="AH252" s="35"/>
      <c r="AI252" s="35"/>
      <c r="AJ252" s="35"/>
      <c r="AK252" s="227"/>
      <c r="AL252" s="227"/>
      <c r="AM252" s="227"/>
      <c r="AN252" s="227"/>
      <c r="AO252" s="227"/>
      <c r="AP252" s="227"/>
      <c r="AQ252" s="227"/>
      <c r="AR252" s="227"/>
      <c r="AS252" s="227"/>
      <c r="AT252" s="227"/>
      <c r="AU252" s="227"/>
      <c r="AV252" s="227"/>
      <c r="AW252" s="227"/>
      <c r="AX252" s="227"/>
      <c r="AY252" s="227"/>
      <c r="AZ252" s="227"/>
      <c r="BA252" s="227"/>
      <c r="BB252" s="227"/>
      <c r="BC252" s="227"/>
      <c r="BD252" s="227"/>
      <c r="BE252" s="227"/>
      <c r="BF252" s="227"/>
      <c r="BG252" s="227"/>
      <c r="BH252" s="35"/>
      <c r="BI252" s="35"/>
      <c r="BJ252" s="56"/>
      <c r="BK252" s="47"/>
      <c r="BL252" s="234"/>
      <c r="BM252" s="234"/>
      <c r="BN252" s="234"/>
      <c r="BO252" s="234"/>
      <c r="BP252" s="234"/>
      <c r="BQ252" s="227"/>
      <c r="BR252" s="227"/>
      <c r="BS252" s="227"/>
      <c r="BT252" s="227"/>
      <c r="BU252" s="227"/>
    </row>
    <row r="253" spans="1:73" x14ac:dyDescent="0.2">
      <c r="A253" s="120" t="s">
        <v>176</v>
      </c>
      <c r="C253" s="235" t="s">
        <v>59</v>
      </c>
      <c r="D253" s="145"/>
      <c r="E253" s="133"/>
      <c r="F253" s="133"/>
      <c r="G253" s="133"/>
      <c r="H253" s="133"/>
      <c r="I253" s="128"/>
      <c r="J253" s="254"/>
      <c r="K253" s="129"/>
      <c r="L253" s="130"/>
      <c r="M253" s="131"/>
      <c r="N253" s="129"/>
      <c r="O253" s="130"/>
      <c r="P253" s="84"/>
      <c r="Q253" s="79"/>
      <c r="T253" s="227"/>
      <c r="U253" s="227"/>
      <c r="V253" s="227"/>
      <c r="W253" s="227"/>
      <c r="X253" s="227"/>
      <c r="Y253" s="227"/>
      <c r="Z253" s="227"/>
      <c r="AA253" s="35"/>
      <c r="AB253" s="35"/>
      <c r="AC253" s="35"/>
      <c r="AD253" s="35"/>
      <c r="AE253" s="35"/>
      <c r="AF253" s="227"/>
      <c r="AG253" s="35"/>
      <c r="AH253" s="35"/>
      <c r="AI253" s="35"/>
      <c r="AJ253" s="35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35"/>
      <c r="BI253" s="35"/>
      <c r="BJ253" s="56"/>
      <c r="BK253" s="47"/>
      <c r="BL253" s="234"/>
      <c r="BM253" s="234"/>
      <c r="BN253" s="234"/>
      <c r="BO253" s="234"/>
      <c r="BP253" s="234"/>
      <c r="BQ253" s="227"/>
      <c r="BR253" s="227"/>
      <c r="BS253" s="227"/>
      <c r="BT253" s="227"/>
      <c r="BU253" s="227"/>
    </row>
    <row r="254" spans="1:73" x14ac:dyDescent="0.2">
      <c r="A254" s="113"/>
      <c r="B254" s="33">
        <v>90</v>
      </c>
      <c r="C254" s="236" t="s">
        <v>59</v>
      </c>
      <c r="D254" s="145" t="str">
        <f>Referentieproject!T174</f>
        <v>3 parkeren:50% verhard+50% tuinaanleg</v>
      </c>
      <c r="E254" s="133"/>
      <c r="F254" s="133"/>
      <c r="G254" s="133"/>
      <c r="H254" s="133"/>
      <c r="I254" s="128"/>
      <c r="J254" s="254">
        <f>Referentieproject!J174</f>
        <v>6837.7481194909151</v>
      </c>
      <c r="K254" s="129">
        <f>Referentieproject!K174</f>
        <v>1752.8358995322437</v>
      </c>
      <c r="L254" s="130">
        <f>Referentieproject!L174</f>
        <v>7862.0318411213439</v>
      </c>
      <c r="M254" s="131">
        <f>Referentieproject!M174</f>
        <v>47874.008245999648</v>
      </c>
      <c r="N254" s="129">
        <f>Referentieproject!N174</f>
        <v>3991.7643744993911</v>
      </c>
      <c r="O254" s="130">
        <f>Referentieproject!O174</f>
        <v>1227.4242161215591</v>
      </c>
      <c r="T254" s="227"/>
      <c r="U254" s="227"/>
      <c r="V254" s="227"/>
      <c r="W254" s="227"/>
      <c r="X254" s="227"/>
      <c r="Y254" s="227"/>
      <c r="Z254" s="227"/>
      <c r="AA254" s="35"/>
      <c r="AB254" s="35"/>
      <c r="AC254" s="35"/>
      <c r="AD254" s="35"/>
      <c r="AE254" s="35"/>
      <c r="AF254" s="227"/>
      <c r="AG254" s="35"/>
      <c r="AH254" s="35"/>
      <c r="AI254" s="35"/>
      <c r="AJ254" s="35"/>
      <c r="AK254" s="227"/>
      <c r="AL254" s="227"/>
      <c r="AM254" s="227"/>
      <c r="AN254" s="227"/>
      <c r="AO254" s="227"/>
      <c r="AP254" s="227"/>
      <c r="AQ254" s="227"/>
      <c r="AR254" s="227"/>
      <c r="AS254" s="227"/>
      <c r="AT254" s="227"/>
      <c r="AU254" s="227"/>
      <c r="AV254" s="227"/>
      <c r="AW254" s="227"/>
      <c r="AX254" s="227"/>
      <c r="AY254" s="227"/>
      <c r="AZ254" s="227"/>
      <c r="BA254" s="227"/>
      <c r="BB254" s="227"/>
      <c r="BC254" s="227"/>
      <c r="BD254" s="227"/>
      <c r="BE254" s="227"/>
      <c r="BF254" s="227"/>
      <c r="BG254" s="227"/>
      <c r="BH254" s="35"/>
      <c r="BI254" s="35"/>
      <c r="BJ254" s="56"/>
      <c r="BK254" s="47"/>
      <c r="BL254" s="234"/>
      <c r="BM254" s="234"/>
      <c r="BN254" s="234"/>
      <c r="BO254" s="234"/>
      <c r="BP254" s="234"/>
      <c r="BQ254" s="227"/>
      <c r="BR254" s="227"/>
      <c r="BS254" s="227"/>
      <c r="BT254" s="227"/>
      <c r="BU254" s="227"/>
    </row>
    <row r="255" spans="1:73" x14ac:dyDescent="0.2">
      <c r="A255" s="113"/>
      <c r="C255" s="146" t="s">
        <v>236</v>
      </c>
      <c r="D255" s="145"/>
      <c r="E255" s="133"/>
      <c r="F255" s="133"/>
      <c r="G255" s="133"/>
      <c r="H255" s="133"/>
      <c r="I255" s="128"/>
      <c r="J255" s="254"/>
      <c r="K255" s="129"/>
      <c r="L255" s="130"/>
      <c r="M255" s="131"/>
      <c r="N255" s="129"/>
      <c r="O255" s="130"/>
      <c r="P255" s="84"/>
      <c r="Q255" s="79"/>
      <c r="T255" s="227"/>
      <c r="U255" s="227"/>
      <c r="V255" s="227"/>
      <c r="W255" s="227"/>
      <c r="X255" s="227"/>
      <c r="Y255" s="227"/>
      <c r="Z255" s="227"/>
      <c r="AA255" s="35"/>
      <c r="AB255" s="35"/>
      <c r="AC255" s="35"/>
      <c r="AD255" s="35"/>
      <c r="AE255" s="35"/>
      <c r="AF255" s="227"/>
      <c r="AG255" s="35"/>
      <c r="AH255" s="35"/>
      <c r="AI255" s="35"/>
      <c r="AJ255" s="35"/>
      <c r="AK255" s="227"/>
      <c r="AL255" s="227"/>
      <c r="AM255" s="227"/>
      <c r="AN255" s="227"/>
      <c r="AO255" s="227"/>
      <c r="AP255" s="227"/>
      <c r="AQ255" s="227"/>
      <c r="AR255" s="227"/>
      <c r="AS255" s="227"/>
      <c r="AT255" s="227"/>
      <c r="AU255" s="227"/>
      <c r="AV255" s="227"/>
      <c r="AW255" s="227"/>
      <c r="AX255" s="227"/>
      <c r="AY255" s="227"/>
      <c r="AZ255" s="227"/>
      <c r="BA255" s="227"/>
      <c r="BB255" s="227"/>
      <c r="BC255" s="227"/>
      <c r="BD255" s="227"/>
      <c r="BE255" s="227"/>
      <c r="BF255" s="227"/>
      <c r="BG255" s="227"/>
      <c r="BH255" s="35"/>
      <c r="BI255" s="35"/>
      <c r="BJ255" s="58"/>
      <c r="BK255" s="48"/>
      <c r="BL255" s="234"/>
      <c r="BM255" s="234"/>
      <c r="BN255" s="234"/>
      <c r="BO255" s="234"/>
      <c r="BP255" s="234"/>
      <c r="BQ255" s="227"/>
      <c r="BR255" s="227"/>
      <c r="BS255" s="227"/>
      <c r="BT255" s="227"/>
      <c r="BU255" s="227"/>
    </row>
    <row r="256" spans="1:73" x14ac:dyDescent="0.2">
      <c r="A256" s="120" t="s">
        <v>177</v>
      </c>
      <c r="C256" s="235" t="s">
        <v>236</v>
      </c>
      <c r="D256" s="145"/>
      <c r="E256" s="133"/>
      <c r="F256" s="133"/>
      <c r="G256" s="133"/>
      <c r="H256" s="133"/>
      <c r="I256" s="128"/>
      <c r="J256" s="254"/>
      <c r="K256" s="129"/>
      <c r="L256" s="130"/>
      <c r="M256" s="131"/>
      <c r="N256" s="129"/>
      <c r="O256" s="130"/>
      <c r="P256" s="84"/>
      <c r="Q256" s="79"/>
      <c r="T256" s="227"/>
      <c r="U256" s="227"/>
      <c r="V256" s="227"/>
      <c r="W256" s="227"/>
      <c r="X256" s="227"/>
      <c r="Y256" s="227"/>
      <c r="Z256" s="227"/>
      <c r="AA256" s="35"/>
      <c r="AB256" s="35"/>
      <c r="AC256" s="35"/>
      <c r="AD256" s="35"/>
      <c r="AE256" s="35"/>
      <c r="AF256" s="227"/>
      <c r="AG256" s="35"/>
      <c r="AH256" s="35"/>
      <c r="AI256" s="35"/>
      <c r="AJ256" s="35"/>
      <c r="AK256" s="227"/>
      <c r="AL256" s="227"/>
      <c r="AM256" s="227"/>
      <c r="AN256" s="227"/>
      <c r="AO256" s="227"/>
      <c r="AP256" s="227"/>
      <c r="AQ256" s="227"/>
      <c r="AR256" s="227"/>
      <c r="AS256" s="227"/>
      <c r="AT256" s="227"/>
      <c r="AU256" s="227"/>
      <c r="AV256" s="227"/>
      <c r="AW256" s="227"/>
      <c r="AX256" s="227"/>
      <c r="AY256" s="227"/>
      <c r="AZ256" s="227"/>
      <c r="BA256" s="227"/>
      <c r="BB256" s="227"/>
      <c r="BC256" s="227"/>
      <c r="BD256" s="227"/>
      <c r="BE256" s="227"/>
      <c r="BF256" s="227"/>
      <c r="BG256" s="227"/>
      <c r="BH256" s="35"/>
      <c r="BI256" s="35"/>
      <c r="BJ256" s="56"/>
      <c r="BK256" s="47"/>
      <c r="BL256" s="234"/>
      <c r="BM256" s="234"/>
      <c r="BN256" s="234"/>
      <c r="BO256" s="234"/>
      <c r="BP256" s="234"/>
      <c r="BQ256" s="227"/>
      <c r="BR256" s="227"/>
      <c r="BS256" s="227"/>
      <c r="BT256" s="227"/>
      <c r="BU256" s="227"/>
    </row>
    <row r="257" spans="1:73" x14ac:dyDescent="0.2">
      <c r="A257" s="49"/>
      <c r="B257" s="33">
        <v>99</v>
      </c>
      <c r="C257" s="236" t="s">
        <v>236</v>
      </c>
      <c r="D257" s="145" t="str">
        <f>Referentieproject!T177</f>
        <v>1 bouwk.en install.; post 2%</v>
      </c>
      <c r="E257" s="133"/>
      <c r="F257" s="133"/>
      <c r="G257" s="133"/>
      <c r="H257" s="133"/>
      <c r="I257" s="128"/>
      <c r="J257" s="254">
        <f>Referentieproject!J177</f>
        <v>2517.4691726683195</v>
      </c>
      <c r="K257" s="129">
        <f>Referentieproject!K177</f>
        <v>562.82875331056755</v>
      </c>
      <c r="L257" s="130">
        <f>Referentieproject!L177</f>
        <v>1778.5662956187132</v>
      </c>
      <c r="M257" s="131">
        <f>Referentieproject!M177</f>
        <v>19209.60775720387</v>
      </c>
      <c r="N257" s="129">
        <f>Referentieproject!N177</f>
        <v>537.49776248125193</v>
      </c>
      <c r="O257" s="130">
        <f>Referentieproject!O177</f>
        <v>341.08797678672323</v>
      </c>
      <c r="T257" s="227"/>
      <c r="U257" s="227"/>
      <c r="V257" s="227"/>
      <c r="W257" s="227"/>
      <c r="X257" s="227"/>
      <c r="Y257" s="227"/>
      <c r="Z257" s="227"/>
      <c r="AA257" s="35"/>
      <c r="AB257" s="52"/>
      <c r="AC257" s="52"/>
      <c r="AD257" s="52"/>
      <c r="AE257" s="52"/>
      <c r="AF257" s="227"/>
      <c r="AG257" s="35"/>
      <c r="AH257" s="35"/>
      <c r="AI257" s="35"/>
      <c r="AJ257" s="35"/>
      <c r="AK257" s="227"/>
      <c r="AL257" s="227"/>
      <c r="AM257" s="227"/>
      <c r="AN257" s="227"/>
      <c r="AO257" s="227"/>
      <c r="AP257" s="227"/>
      <c r="AQ257" s="227"/>
      <c r="AR257" s="227"/>
      <c r="AS257" s="227"/>
      <c r="AT257" s="227"/>
      <c r="AU257" s="227"/>
      <c r="AV257" s="227"/>
      <c r="AW257" s="227"/>
      <c r="AX257" s="227"/>
      <c r="AY257" s="227"/>
      <c r="AZ257" s="227"/>
      <c r="BA257" s="227"/>
      <c r="BB257" s="227"/>
      <c r="BC257" s="227"/>
      <c r="BD257" s="227"/>
      <c r="BE257" s="227"/>
      <c r="BF257" s="227"/>
      <c r="BG257" s="227"/>
      <c r="BH257" s="35"/>
      <c r="BI257" s="35"/>
      <c r="BJ257" s="56"/>
      <c r="BK257" s="47"/>
      <c r="BL257" s="234"/>
      <c r="BM257" s="234"/>
      <c r="BN257" s="234"/>
      <c r="BO257" s="234"/>
      <c r="BP257" s="234"/>
      <c r="BQ257" s="227"/>
      <c r="BR257" s="227"/>
      <c r="BS257" s="227"/>
      <c r="BT257" s="227"/>
      <c r="BU257" s="227"/>
    </row>
    <row r="258" spans="1:73" ht="6" customHeight="1" x14ac:dyDescent="0.2">
      <c r="C258" s="147"/>
      <c r="D258" s="149"/>
      <c r="E258" s="148"/>
      <c r="F258" s="148"/>
      <c r="G258" s="148"/>
      <c r="H258" s="148"/>
      <c r="I258" s="136"/>
      <c r="J258" s="153"/>
      <c r="K258" s="138"/>
      <c r="L258" s="139"/>
      <c r="M258" s="140"/>
      <c r="N258" s="138"/>
      <c r="O258" s="139"/>
      <c r="P258" s="84"/>
      <c r="Q258" s="79"/>
      <c r="T258" s="227"/>
      <c r="U258" s="227"/>
      <c r="V258" s="227"/>
      <c r="W258" s="227"/>
      <c r="X258" s="227"/>
      <c r="Y258" s="227"/>
      <c r="Z258" s="227"/>
      <c r="AA258" s="35"/>
      <c r="AB258" s="35"/>
      <c r="AC258" s="35"/>
      <c r="AD258" s="35"/>
      <c r="AE258" s="35"/>
      <c r="AF258" s="227"/>
      <c r="AG258" s="35"/>
      <c r="AH258" s="35"/>
      <c r="AI258" s="35"/>
      <c r="AJ258" s="35"/>
      <c r="AK258" s="227"/>
      <c r="AL258" s="227"/>
      <c r="AM258" s="227"/>
      <c r="AN258" s="227"/>
      <c r="AO258" s="227"/>
      <c r="AP258" s="227"/>
      <c r="AQ258" s="227"/>
      <c r="AR258" s="227"/>
      <c r="AS258" s="227"/>
      <c r="AT258" s="227"/>
      <c r="AU258" s="227"/>
      <c r="AV258" s="227"/>
      <c r="AW258" s="227"/>
      <c r="AX258" s="227"/>
      <c r="AY258" s="227"/>
      <c r="AZ258" s="227"/>
      <c r="BA258" s="227"/>
      <c r="BB258" s="227"/>
      <c r="BC258" s="227"/>
      <c r="BD258" s="227"/>
      <c r="BE258" s="227"/>
      <c r="BF258" s="227"/>
      <c r="BG258" s="227"/>
      <c r="BH258" s="35"/>
      <c r="BI258" s="227"/>
      <c r="BJ258" s="227"/>
      <c r="BK258" s="227"/>
      <c r="BL258" s="227"/>
      <c r="BM258" s="227"/>
      <c r="BN258" s="227"/>
      <c r="BO258" s="227"/>
      <c r="BP258" s="227"/>
      <c r="BQ258" s="227"/>
      <c r="BR258" s="227"/>
      <c r="BS258" s="227"/>
      <c r="BT258" s="227"/>
      <c r="BU258" s="227"/>
    </row>
    <row r="259" spans="1:73" ht="6" customHeight="1" x14ac:dyDescent="0.2">
      <c r="C259" s="204"/>
      <c r="D259" s="204"/>
      <c r="E259" s="255"/>
      <c r="F259" s="255"/>
      <c r="G259" s="115"/>
      <c r="H259" s="116"/>
      <c r="I259" s="204"/>
      <c r="J259" s="115"/>
      <c r="K259" s="115"/>
      <c r="L259" s="115"/>
      <c r="M259" s="115"/>
      <c r="N259" s="115"/>
      <c r="O259" s="115"/>
      <c r="T259" s="227"/>
      <c r="U259" s="227"/>
      <c r="V259" s="227"/>
      <c r="W259" s="227"/>
      <c r="X259" s="227"/>
      <c r="Y259" s="227"/>
      <c r="Z259" s="227"/>
      <c r="AA259" s="35"/>
      <c r="AB259" s="36"/>
      <c r="AC259" s="36"/>
      <c r="AD259" s="36"/>
      <c r="AE259" s="36"/>
      <c r="AF259" s="227"/>
      <c r="AG259" s="35"/>
      <c r="AH259" s="35"/>
      <c r="AI259" s="35"/>
      <c r="AJ259" s="35"/>
      <c r="AK259" s="227"/>
      <c r="AL259" s="227"/>
      <c r="AM259" s="227"/>
      <c r="AN259" s="227"/>
      <c r="AO259" s="227"/>
      <c r="AP259" s="227"/>
      <c r="AQ259" s="227"/>
      <c r="AR259" s="227"/>
      <c r="AS259" s="227"/>
      <c r="AT259" s="227"/>
      <c r="AU259" s="227"/>
      <c r="AV259" s="227"/>
      <c r="AW259" s="227"/>
      <c r="AX259" s="227"/>
      <c r="AY259" s="227"/>
      <c r="AZ259" s="227"/>
      <c r="BA259" s="227"/>
      <c r="BB259" s="227"/>
      <c r="BC259" s="227"/>
      <c r="BD259" s="227"/>
      <c r="BE259" s="227"/>
      <c r="BF259" s="227"/>
      <c r="BG259" s="227"/>
      <c r="BH259" s="35"/>
      <c r="BI259" s="227"/>
      <c r="BJ259" s="227"/>
      <c r="BK259" s="227"/>
      <c r="BL259" s="227"/>
      <c r="BM259" s="227"/>
      <c r="BN259" s="227"/>
      <c r="BO259" s="227"/>
      <c r="BP259" s="227"/>
      <c r="BQ259" s="227"/>
      <c r="BR259" s="227"/>
      <c r="BS259" s="227"/>
      <c r="BT259" s="227"/>
      <c r="BU259" s="227"/>
    </row>
    <row r="260" spans="1:73" ht="12.75" customHeight="1" x14ac:dyDescent="0.2">
      <c r="C260" s="241" t="s">
        <v>287</v>
      </c>
      <c r="D260" s="256"/>
      <c r="E260" s="121"/>
      <c r="F260" s="121"/>
      <c r="G260" s="121"/>
      <c r="H260" s="144"/>
      <c r="I260" s="122"/>
      <c r="J260" s="158">
        <f>Referentieproject!J180</f>
        <v>128390.92780608429</v>
      </c>
      <c r="K260" s="124">
        <f>Referentieproject!K180</f>
        <v>28704.266418838943</v>
      </c>
      <c r="L260" s="125">
        <f>Referentieproject!L180</f>
        <v>90706.881076554375</v>
      </c>
      <c r="M260" s="126">
        <f>Referentieproject!M180</f>
        <v>979689.99561739736</v>
      </c>
      <c r="N260" s="124">
        <f>Referentieproject!N180</f>
        <v>27412.385886543849</v>
      </c>
      <c r="O260" s="125">
        <f>Referentieproject!O180</f>
        <v>17395.486816122884</v>
      </c>
      <c r="T260" s="227"/>
      <c r="U260" s="227"/>
      <c r="V260" s="227"/>
      <c r="W260" s="227"/>
      <c r="X260" s="227"/>
      <c r="Y260" s="227"/>
      <c r="Z260" s="227"/>
      <c r="AA260" s="35"/>
      <c r="AB260" s="35"/>
      <c r="AC260" s="35"/>
      <c r="AD260" s="35"/>
      <c r="AE260" s="35"/>
      <c r="AF260" s="227"/>
      <c r="AG260" s="35"/>
      <c r="AH260" s="35"/>
      <c r="AI260" s="35"/>
      <c r="AJ260" s="35"/>
      <c r="AK260" s="227"/>
      <c r="AL260" s="227"/>
      <c r="AM260" s="227"/>
      <c r="AN260" s="227"/>
      <c r="AO260" s="227"/>
      <c r="AP260" s="227"/>
      <c r="AQ260" s="227"/>
      <c r="AR260" s="227"/>
      <c r="AS260" s="227"/>
      <c r="AT260" s="227"/>
      <c r="AU260" s="227"/>
      <c r="AV260" s="227"/>
      <c r="AW260" s="227"/>
      <c r="AX260" s="227"/>
      <c r="AY260" s="227"/>
      <c r="AZ260" s="227"/>
      <c r="BA260" s="227"/>
      <c r="BB260" s="227"/>
      <c r="BC260" s="227"/>
      <c r="BD260" s="227"/>
      <c r="BE260" s="227"/>
      <c r="BF260" s="227"/>
      <c r="BG260" s="227"/>
      <c r="BH260" s="35"/>
      <c r="BI260" s="227"/>
      <c r="BJ260" s="227"/>
      <c r="BK260" s="227"/>
      <c r="BL260" s="227"/>
      <c r="BM260" s="227"/>
      <c r="BN260" s="227"/>
      <c r="BO260" s="227"/>
      <c r="BP260" s="227"/>
      <c r="BQ260" s="227"/>
      <c r="BR260" s="227"/>
      <c r="BS260" s="227"/>
      <c r="BT260" s="227"/>
      <c r="BU260" s="227"/>
    </row>
    <row r="261" spans="1:73" ht="12.75" customHeight="1" x14ac:dyDescent="0.2">
      <c r="C261" s="145" t="s">
        <v>243</v>
      </c>
      <c r="D261" s="244"/>
      <c r="E261" s="127"/>
      <c r="F261" s="127"/>
      <c r="G261" s="127"/>
      <c r="H261" s="133"/>
      <c r="I261" s="128"/>
      <c r="J261" s="134">
        <f>Referentieproject!J181</f>
        <v>11250.000000000002</v>
      </c>
      <c r="K261" s="129">
        <f>Referentieproject!K181</f>
        <v>1800.0000000000002</v>
      </c>
      <c r="L261" s="130">
        <f>Referentieproject!L181</f>
        <v>4769.200395347716</v>
      </c>
      <c r="M261" s="131">
        <f>Referentieproject!M181</f>
        <v>68834.509291799186</v>
      </c>
      <c r="N261" s="129">
        <f>Referentieproject!N181</f>
        <v>450.19808854828722</v>
      </c>
      <c r="O261" s="130">
        <f>Referentieproject!O181</f>
        <v>492.39888334153278</v>
      </c>
      <c r="T261" s="227"/>
      <c r="U261" s="227"/>
      <c r="V261" s="227"/>
      <c r="W261" s="227"/>
      <c r="X261" s="227"/>
      <c r="Y261" s="227"/>
      <c r="Z261" s="227"/>
      <c r="AA261" s="35"/>
      <c r="AB261" s="35"/>
      <c r="AC261" s="35"/>
      <c r="AD261" s="35"/>
      <c r="AE261" s="35"/>
      <c r="AF261" s="227"/>
      <c r="AG261" s="35"/>
      <c r="AH261" s="35"/>
      <c r="AI261" s="35"/>
      <c r="AJ261" s="35"/>
      <c r="AK261" s="227"/>
      <c r="AL261" s="227"/>
      <c r="AM261" s="227"/>
      <c r="AN261" s="227"/>
      <c r="AO261" s="227"/>
      <c r="AP261" s="227"/>
      <c r="AQ261" s="227"/>
      <c r="AR261" s="227"/>
      <c r="AS261" s="227"/>
      <c r="AT261" s="227"/>
      <c r="AU261" s="227"/>
      <c r="AV261" s="227"/>
      <c r="AW261" s="227"/>
      <c r="AX261" s="227"/>
      <c r="AY261" s="227"/>
      <c r="AZ261" s="227"/>
      <c r="BA261" s="227"/>
      <c r="BB261" s="227"/>
      <c r="BC261" s="227"/>
      <c r="BD261" s="227"/>
      <c r="BE261" s="227"/>
      <c r="BF261" s="227"/>
      <c r="BG261" s="227"/>
      <c r="BH261" s="35"/>
      <c r="BI261" s="227"/>
      <c r="BJ261" s="227"/>
      <c r="BK261" s="227"/>
      <c r="BL261" s="227"/>
      <c r="BM261" s="227"/>
      <c r="BN261" s="227"/>
      <c r="BO261" s="227"/>
      <c r="BP261" s="227"/>
      <c r="BQ261" s="227"/>
      <c r="BR261" s="227"/>
      <c r="BS261" s="227"/>
      <c r="BT261" s="227"/>
      <c r="BU261" s="227"/>
    </row>
    <row r="262" spans="1:73" ht="12.75" customHeight="1" x14ac:dyDescent="0.2">
      <c r="C262" s="145" t="s">
        <v>244</v>
      </c>
      <c r="D262" s="244"/>
      <c r="E262" s="127"/>
      <c r="F262" s="127"/>
      <c r="G262" s="127"/>
      <c r="H262" s="133"/>
      <c r="I262" s="128"/>
      <c r="J262" s="134">
        <f>Referentieproject!J182</f>
        <v>15751.496656526309</v>
      </c>
      <c r="K262" s="129">
        <f>Referentieproject!K182</f>
        <v>1260.0000000000002</v>
      </c>
      <c r="L262" s="130">
        <f>Referentieproject!L182</f>
        <v>3338.4402767434012</v>
      </c>
      <c r="M262" s="131">
        <f>Referentieproject!M182</f>
        <v>48184.15650425943</v>
      </c>
      <c r="N262" s="129">
        <f>Referentieproject!N182</f>
        <v>315.13866198380111</v>
      </c>
      <c r="O262" s="130">
        <f>Referentieproject!O182</f>
        <v>344.67921833907297</v>
      </c>
      <c r="T262" s="227"/>
      <c r="U262" s="227"/>
      <c r="V262" s="227"/>
      <c r="W262" s="227"/>
      <c r="X262" s="227"/>
      <c r="Y262" s="227"/>
      <c r="Z262" s="227"/>
      <c r="AA262" s="35"/>
      <c r="AB262" s="35"/>
      <c r="AC262" s="35"/>
      <c r="AD262" s="35"/>
      <c r="AE262" s="35"/>
      <c r="AF262" s="227"/>
      <c r="AG262" s="35"/>
      <c r="AH262" s="35"/>
      <c r="AI262" s="35"/>
      <c r="AJ262" s="35"/>
      <c r="AK262" s="227"/>
      <c r="AL262" s="227"/>
      <c r="AM262" s="227"/>
      <c r="AN262" s="227"/>
      <c r="AO262" s="227"/>
      <c r="AP262" s="227"/>
      <c r="AQ262" s="227"/>
      <c r="AR262" s="227"/>
      <c r="AS262" s="227"/>
      <c r="AT262" s="227"/>
      <c r="AU262" s="227"/>
      <c r="AV262" s="227"/>
      <c r="AW262" s="227"/>
      <c r="AX262" s="227"/>
      <c r="AY262" s="227"/>
      <c r="AZ262" s="227"/>
      <c r="BA262" s="227"/>
      <c r="BB262" s="227"/>
      <c r="BC262" s="227"/>
      <c r="BD262" s="227"/>
      <c r="BE262" s="227"/>
      <c r="BF262" s="227"/>
      <c r="BG262" s="227"/>
      <c r="BH262" s="35"/>
      <c r="BI262" s="227"/>
      <c r="BJ262" s="227"/>
      <c r="BK262" s="227"/>
      <c r="BL262" s="227"/>
      <c r="BM262" s="227"/>
      <c r="BN262" s="227"/>
      <c r="BO262" s="227"/>
      <c r="BP262" s="227"/>
      <c r="BQ262" s="227"/>
      <c r="BR262" s="227"/>
      <c r="BS262" s="227"/>
      <c r="BT262" s="227"/>
      <c r="BU262" s="227"/>
    </row>
    <row r="263" spans="1:73" ht="3.95" customHeight="1" x14ac:dyDescent="0.2">
      <c r="C263" s="16"/>
      <c r="D263" s="207"/>
      <c r="E263" s="167"/>
      <c r="F263" s="167"/>
      <c r="G263" s="178"/>
      <c r="H263" s="168"/>
      <c r="I263" s="174"/>
      <c r="J263" s="5"/>
      <c r="K263" s="9"/>
      <c r="L263" s="27"/>
      <c r="M263" s="12"/>
      <c r="N263" s="9"/>
      <c r="O263" s="27"/>
      <c r="T263" s="227"/>
      <c r="U263" s="227"/>
      <c r="V263" s="227"/>
      <c r="W263" s="227"/>
      <c r="X263" s="227"/>
      <c r="Y263" s="227"/>
      <c r="Z263" s="227"/>
      <c r="AA263" s="35"/>
      <c r="AB263" s="34"/>
      <c r="AC263" s="34"/>
      <c r="AD263" s="34"/>
      <c r="AE263" s="34"/>
      <c r="AF263" s="227"/>
      <c r="AG263" s="34"/>
      <c r="AH263" s="34"/>
      <c r="AI263" s="34"/>
      <c r="AJ263" s="34"/>
      <c r="AK263" s="227"/>
      <c r="AL263" s="227"/>
      <c r="AM263" s="227"/>
      <c r="AN263" s="227"/>
      <c r="AO263" s="227"/>
      <c r="AP263" s="227"/>
      <c r="AQ263" s="227"/>
      <c r="AR263" s="227"/>
      <c r="AS263" s="227"/>
      <c r="AT263" s="227"/>
      <c r="AU263" s="227"/>
      <c r="AV263" s="227"/>
      <c r="AW263" s="227"/>
      <c r="AX263" s="227"/>
      <c r="AY263" s="227"/>
      <c r="AZ263" s="227"/>
      <c r="BA263" s="227"/>
      <c r="BB263" s="227"/>
      <c r="BC263" s="227"/>
      <c r="BD263" s="227"/>
      <c r="BE263" s="227"/>
      <c r="BF263" s="227"/>
      <c r="BG263" s="227"/>
      <c r="BH263" s="35"/>
      <c r="BI263" s="227"/>
      <c r="BJ263" s="227"/>
      <c r="BK263" s="227"/>
      <c r="BL263" s="227"/>
      <c r="BM263" s="227"/>
      <c r="BN263" s="227"/>
      <c r="BO263" s="227"/>
      <c r="BP263" s="227"/>
      <c r="BQ263" s="227"/>
      <c r="BR263" s="227"/>
      <c r="BS263" s="227"/>
      <c r="BT263" s="227"/>
      <c r="BU263" s="227"/>
    </row>
    <row r="264" spans="1:73" ht="12.75" customHeight="1" x14ac:dyDescent="0.2">
      <c r="A264" s="1"/>
      <c r="C264" s="143" t="s">
        <v>286</v>
      </c>
      <c r="D264" s="239"/>
      <c r="E264" s="248"/>
      <c r="F264" s="121"/>
      <c r="G264" s="121"/>
      <c r="H264" s="144"/>
      <c r="I264" s="173"/>
      <c r="J264" s="123"/>
      <c r="K264" s="8"/>
      <c r="L264" s="26"/>
      <c r="M264" s="11"/>
      <c r="N264" s="8"/>
      <c r="O264" s="26"/>
      <c r="T264" s="227"/>
      <c r="U264" s="227"/>
      <c r="V264" s="227"/>
      <c r="W264" s="227"/>
      <c r="X264" s="227"/>
      <c r="Y264" s="227"/>
      <c r="Z264" s="227"/>
      <c r="AA264" s="227"/>
      <c r="AB264" s="36"/>
      <c r="AC264" s="36"/>
      <c r="AD264" s="36"/>
      <c r="AE264" s="36"/>
      <c r="AF264" s="227"/>
      <c r="AG264" s="36"/>
      <c r="AH264" s="36"/>
      <c r="AI264" s="36"/>
      <c r="AJ264" s="36"/>
      <c r="AK264" s="227"/>
      <c r="AL264" s="227"/>
      <c r="AM264" s="227"/>
      <c r="AN264" s="227"/>
      <c r="AO264" s="227"/>
      <c r="AP264" s="227"/>
      <c r="AQ264" s="227"/>
      <c r="AR264" s="227"/>
      <c r="AS264" s="227"/>
      <c r="AT264" s="227"/>
      <c r="AU264" s="227"/>
      <c r="AV264" s="227"/>
      <c r="AW264" s="227"/>
      <c r="AX264" s="227"/>
      <c r="AY264" s="227"/>
      <c r="AZ264" s="227"/>
      <c r="BA264" s="227"/>
      <c r="BB264" s="227"/>
      <c r="BC264" s="227"/>
      <c r="BD264" s="227"/>
      <c r="BE264" s="227"/>
      <c r="BF264" s="227"/>
      <c r="BG264" s="227"/>
      <c r="BH264" s="227"/>
      <c r="BI264" s="227"/>
      <c r="BJ264" s="227"/>
      <c r="BK264" s="227"/>
      <c r="BL264" s="227"/>
      <c r="BM264" s="227"/>
      <c r="BN264" s="227"/>
      <c r="BO264" s="227"/>
      <c r="BP264" s="227"/>
      <c r="BQ264" s="227"/>
      <c r="BR264" s="227"/>
      <c r="BS264" s="227"/>
      <c r="BT264" s="227"/>
      <c r="BU264" s="227"/>
    </row>
    <row r="265" spans="1:73" ht="12.75" customHeight="1" x14ac:dyDescent="0.2">
      <c r="C265" s="147" t="str">
        <f>CONCATENATE("van referentie ",Stappen!$F$10)</f>
        <v>van referentie (2) appartementen</v>
      </c>
      <c r="D265" s="226"/>
      <c r="E265" s="210"/>
      <c r="F265" s="135"/>
      <c r="G265" s="135"/>
      <c r="H265" s="148"/>
      <c r="I265" s="175"/>
      <c r="J265" s="137">
        <f t="shared" ref="J265:O265" si="34">SUM(J260:J262)</f>
        <v>155392.42446261062</v>
      </c>
      <c r="K265" s="411">
        <f t="shared" si="34"/>
        <v>31764.266418838943</v>
      </c>
      <c r="L265" s="412">
        <f t="shared" si="34"/>
        <v>98814.521748645493</v>
      </c>
      <c r="M265" s="413">
        <f t="shared" si="34"/>
        <v>1096708.6614134558</v>
      </c>
      <c r="N265" s="411">
        <f t="shared" si="34"/>
        <v>28177.722637075938</v>
      </c>
      <c r="O265" s="412">
        <f t="shared" si="34"/>
        <v>18232.564917803487</v>
      </c>
      <c r="T265" s="227"/>
      <c r="U265" s="227"/>
      <c r="V265" s="227"/>
      <c r="W265" s="227"/>
      <c r="X265" s="227"/>
      <c r="Y265" s="227"/>
      <c r="Z265" s="227"/>
      <c r="AA265" s="227"/>
      <c r="AB265" s="35"/>
      <c r="AC265" s="35"/>
      <c r="AD265" s="35"/>
      <c r="AE265" s="35"/>
      <c r="AF265" s="227"/>
      <c r="AG265" s="35"/>
      <c r="AH265" s="35"/>
      <c r="AI265" s="35"/>
      <c r="AJ265" s="35"/>
      <c r="AK265" s="227"/>
      <c r="AL265" s="227"/>
      <c r="AM265" s="227"/>
      <c r="AN265" s="227"/>
      <c r="AO265" s="227"/>
      <c r="AP265" s="227"/>
      <c r="AQ265" s="227"/>
      <c r="AR265" s="227"/>
      <c r="AS265" s="227"/>
      <c r="AT265" s="227"/>
      <c r="AU265" s="227"/>
      <c r="AV265" s="227"/>
      <c r="AW265" s="227"/>
      <c r="AX265" s="227"/>
      <c r="AY265" s="227"/>
      <c r="AZ265" s="227"/>
      <c r="BA265" s="227"/>
      <c r="BB265" s="227"/>
      <c r="BC265" s="227"/>
      <c r="BD265" s="227"/>
      <c r="BE265" s="227"/>
      <c r="BF265" s="227"/>
      <c r="BG265" s="227"/>
      <c r="BH265" s="227"/>
      <c r="BI265" s="227"/>
      <c r="BJ265" s="227"/>
      <c r="BK265" s="227"/>
      <c r="BL265" s="227"/>
      <c r="BM265" s="227"/>
      <c r="BN265" s="227"/>
      <c r="BO265" s="227"/>
      <c r="BP265" s="227"/>
      <c r="BQ265" s="227"/>
      <c r="BR265" s="227"/>
      <c r="BS265" s="227"/>
      <c r="BT265" s="227"/>
      <c r="BU265" s="227"/>
    </row>
    <row r="266" spans="1:73" x14ac:dyDescent="0.2">
      <c r="I266" s="203"/>
      <c r="T266" s="227"/>
      <c r="U266" s="227"/>
      <c r="V266" s="227"/>
      <c r="W266" s="227"/>
      <c r="X266" s="227"/>
      <c r="Y266" s="227"/>
      <c r="Z266" s="227"/>
      <c r="AA266" s="227"/>
    </row>
    <row r="267" spans="1:73" x14ac:dyDescent="0.2">
      <c r="I267" s="203"/>
      <c r="T267" s="227"/>
      <c r="U267" s="227"/>
      <c r="V267" s="227"/>
      <c r="W267" s="227"/>
      <c r="X267" s="227"/>
      <c r="Y267" s="227"/>
      <c r="Z267" s="227"/>
      <c r="AA267" s="227"/>
    </row>
  </sheetData>
  <sheetProtection password="D087" sheet="1" objects="1" scenarios="1" formatCells="0" formatColumns="0" formatRows="0" insertColumns="0" insertRows="0" insertHyperlinks="0" deleteColumns="0" deleteRows="0" sort="0" autoFilter="0" pivotTables="0"/>
  <mergeCells count="4">
    <mergeCell ref="D236:I236"/>
    <mergeCell ref="D237:I237"/>
    <mergeCell ref="D238:I238"/>
    <mergeCell ref="D239:I239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0" fitToHeight="3" orientation="portrait" r:id="rId1"/>
  <headerFooter>
    <oddHeader>&amp;CBouwproject-economie.nl</oddHeader>
    <oddFooter>&amp;C&amp;F - &amp;A - &amp;P/&amp;N</oddFooter>
  </headerFooter>
  <rowBreaks count="2" manualBreakCount="2">
    <brk id="106" min="2" max="14" man="1"/>
    <brk id="186" min="2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B2:CZ163"/>
  <sheetViews>
    <sheetView zoomScale="70" zoomScaleNormal="70" workbookViewId="0"/>
  </sheetViews>
  <sheetFormatPr defaultRowHeight="12.75" x14ac:dyDescent="0.2"/>
  <cols>
    <col min="1" max="1" width="9.140625" style="2"/>
    <col min="2" max="2" width="34.85546875" style="2" hidden="1" customWidth="1"/>
    <col min="3" max="4" width="8.7109375" style="2" hidden="1" customWidth="1"/>
    <col min="5" max="6" width="13.140625" style="2" hidden="1" customWidth="1"/>
    <col min="7" max="9" width="8.7109375" style="2" hidden="1" customWidth="1"/>
    <col min="10" max="11" width="13.140625" style="2" hidden="1" customWidth="1"/>
    <col min="12" max="12" width="9.7109375" style="2" hidden="1" customWidth="1"/>
    <col min="13" max="14" width="8.7109375" style="2" hidden="1" customWidth="1"/>
    <col min="15" max="16" width="13.140625" style="2" hidden="1" customWidth="1"/>
    <col min="17" max="19" width="8.7109375" style="2" hidden="1" customWidth="1"/>
    <col min="20" max="21" width="13.140625" style="2" hidden="1" customWidth="1"/>
    <col min="22" max="22" width="9.7109375" style="2" hidden="1" customWidth="1"/>
    <col min="23" max="24" width="8.7109375" style="2" hidden="1" customWidth="1"/>
    <col min="25" max="26" width="13.140625" style="2" hidden="1" customWidth="1"/>
    <col min="27" max="29" width="8.7109375" style="2" hidden="1" customWidth="1"/>
    <col min="30" max="31" width="13.140625" style="2" hidden="1" customWidth="1"/>
    <col min="32" max="32" width="9.7109375" style="2" hidden="1" customWidth="1"/>
    <col min="33" max="33" width="5.7109375" style="2" hidden="1" customWidth="1"/>
    <col min="34" max="34" width="35.7109375" style="2" hidden="1" customWidth="1"/>
    <col min="35" max="35" width="6" style="2" hidden="1" customWidth="1"/>
    <col min="36" max="46" width="9.140625" style="2" hidden="1" customWidth="1"/>
    <col min="47" max="50" width="10.28515625" style="2" hidden="1" customWidth="1"/>
    <col min="51" max="51" width="9.28515625" style="2" hidden="1" customWidth="1"/>
    <col min="52" max="54" width="11.5703125" style="2" hidden="1" customWidth="1"/>
    <col min="55" max="55" width="10.42578125" style="2" hidden="1" customWidth="1"/>
    <col min="56" max="56" width="9.140625" style="2" hidden="1" customWidth="1"/>
    <col min="57" max="57" width="9.28515625" style="2" hidden="1" customWidth="1"/>
    <col min="58" max="58" width="9.5703125" style="2" hidden="1" customWidth="1"/>
    <col min="59" max="60" width="9.28515625" style="2" hidden="1" customWidth="1"/>
    <col min="61" max="61" width="9.140625" style="2" hidden="1" customWidth="1"/>
    <col min="62" max="63" width="9.28515625" style="2" hidden="1" customWidth="1"/>
    <col min="64" max="64" width="9.5703125" style="2" hidden="1" customWidth="1"/>
    <col min="65" max="65" width="9.28515625" style="2" hidden="1" customWidth="1"/>
    <col min="66" max="104" width="9.140625" style="2" hidden="1" customWidth="1"/>
    <col min="105" max="130" width="9.140625" style="2" customWidth="1"/>
    <col min="131" max="16384" width="9.140625" style="2"/>
  </cols>
  <sheetData>
    <row r="2" spans="2:88" ht="15" x14ac:dyDescent="0.25">
      <c r="C2" s="44" t="s">
        <v>146</v>
      </c>
      <c r="D2" s="44"/>
      <c r="E2" s="38"/>
      <c r="F2" s="38"/>
      <c r="G2" s="368"/>
      <c r="H2" s="45" t="s">
        <v>147</v>
      </c>
      <c r="I2" s="45"/>
      <c r="J2" s="43"/>
      <c r="K2" s="43"/>
      <c r="L2" s="365"/>
      <c r="M2" s="303" t="s">
        <v>539</v>
      </c>
      <c r="N2" s="303"/>
      <c r="O2" s="304"/>
      <c r="P2" s="304"/>
      <c r="Q2" s="367"/>
      <c r="R2" s="322" t="s">
        <v>28</v>
      </c>
      <c r="S2" s="322"/>
      <c r="T2" s="323"/>
      <c r="U2" s="323"/>
      <c r="V2" s="324"/>
      <c r="W2" s="366" t="s">
        <v>540</v>
      </c>
      <c r="X2" s="365"/>
      <c r="Y2" s="365"/>
      <c r="Z2" s="365"/>
      <c r="AA2" s="365"/>
      <c r="AB2" s="303" t="s">
        <v>541</v>
      </c>
      <c r="AC2" s="303"/>
      <c r="AD2" s="304"/>
      <c r="AE2" s="304"/>
      <c r="AF2" s="367"/>
      <c r="AK2" s="44" t="s">
        <v>146</v>
      </c>
      <c r="AL2" s="44"/>
      <c r="AM2" s="38"/>
      <c r="AN2" s="38"/>
      <c r="AO2" s="368"/>
      <c r="AP2" s="45" t="s">
        <v>147</v>
      </c>
      <c r="AQ2" s="45"/>
      <c r="AR2" s="43"/>
      <c r="AS2" s="43"/>
      <c r="AT2" s="365"/>
      <c r="AU2" s="303" t="s">
        <v>539</v>
      </c>
      <c r="AV2" s="303"/>
      <c r="AW2" s="304"/>
      <c r="AX2" s="304"/>
      <c r="AY2" s="367"/>
      <c r="AZ2" s="322" t="s">
        <v>28</v>
      </c>
      <c r="BA2" s="322"/>
      <c r="BB2" s="323"/>
      <c r="BC2" s="323"/>
      <c r="BD2" s="324"/>
      <c r="BE2" s="366" t="s">
        <v>540</v>
      </c>
      <c r="BF2" s="365"/>
      <c r="BG2" s="365"/>
      <c r="BH2" s="365"/>
      <c r="BI2" s="365"/>
      <c r="BJ2" s="303" t="s">
        <v>541</v>
      </c>
      <c r="BK2" s="303"/>
      <c r="BL2" s="304"/>
      <c r="BM2" s="304"/>
      <c r="BN2" s="367"/>
    </row>
    <row r="3" spans="2:88" x14ac:dyDescent="0.2">
      <c r="C3" s="44" t="s">
        <v>458</v>
      </c>
      <c r="D3" s="38"/>
      <c r="E3" s="38"/>
      <c r="F3" s="38"/>
      <c r="G3" s="96"/>
      <c r="H3" s="45" t="s">
        <v>458</v>
      </c>
      <c r="I3" s="43"/>
      <c r="J3" s="43"/>
      <c r="K3" s="43"/>
      <c r="L3" s="97"/>
      <c r="M3" s="303" t="s">
        <v>458</v>
      </c>
      <c r="N3" s="304"/>
      <c r="O3" s="304"/>
      <c r="P3" s="304"/>
      <c r="Q3" s="305"/>
      <c r="R3" s="322" t="s">
        <v>458</v>
      </c>
      <c r="S3" s="323"/>
      <c r="T3" s="323"/>
      <c r="U3" s="323"/>
      <c r="V3" s="348"/>
      <c r="W3" s="45" t="s">
        <v>458</v>
      </c>
      <c r="X3" s="43"/>
      <c r="Y3" s="43"/>
      <c r="Z3" s="43"/>
      <c r="AA3" s="97"/>
      <c r="AB3" s="303" t="s">
        <v>458</v>
      </c>
      <c r="AC3" s="304"/>
      <c r="AD3" s="304"/>
      <c r="AE3" s="304"/>
      <c r="AF3" s="305"/>
      <c r="AK3" s="44" t="s">
        <v>489</v>
      </c>
      <c r="AL3" s="38"/>
      <c r="AM3" s="38"/>
      <c r="AN3" s="38"/>
      <c r="AO3" s="372"/>
      <c r="AP3" s="45" t="s">
        <v>489</v>
      </c>
      <c r="AQ3" s="43"/>
      <c r="AR3" s="43"/>
      <c r="AS3" s="43"/>
      <c r="AT3" s="373"/>
      <c r="AU3" s="303" t="s">
        <v>489</v>
      </c>
      <c r="AV3" s="304"/>
      <c r="AW3" s="304"/>
      <c r="AX3" s="304"/>
      <c r="AY3" s="371"/>
      <c r="AZ3" s="375" t="s">
        <v>489</v>
      </c>
      <c r="BA3" s="376"/>
      <c r="BB3" s="376"/>
      <c r="BC3" s="376"/>
      <c r="BD3" s="377"/>
      <c r="BE3" s="45" t="s">
        <v>489</v>
      </c>
      <c r="BF3" s="43"/>
      <c r="BG3" s="43"/>
      <c r="BH3" s="43"/>
      <c r="BI3" s="373"/>
      <c r="BJ3" s="303" t="s">
        <v>489</v>
      </c>
      <c r="BK3" s="304"/>
      <c r="BL3" s="304"/>
      <c r="BM3" s="304"/>
      <c r="BN3" s="371"/>
    </row>
    <row r="4" spans="2:88" x14ac:dyDescent="0.2">
      <c r="C4" s="39" t="s">
        <v>459</v>
      </c>
      <c r="D4" s="39"/>
      <c r="E4" s="39"/>
      <c r="F4" s="39"/>
      <c r="G4" s="91"/>
      <c r="H4" s="41" t="s">
        <v>459</v>
      </c>
      <c r="I4" s="41"/>
      <c r="J4" s="41"/>
      <c r="K4" s="41"/>
      <c r="L4" s="92"/>
      <c r="M4" s="306" t="s">
        <v>459</v>
      </c>
      <c r="N4" s="306"/>
      <c r="O4" s="306"/>
      <c r="P4" s="306"/>
      <c r="Q4" s="300"/>
      <c r="R4" s="349" t="s">
        <v>459</v>
      </c>
      <c r="S4" s="349"/>
      <c r="T4" s="349"/>
      <c r="U4" s="349"/>
      <c r="V4" s="341"/>
      <c r="W4" s="41" t="s">
        <v>459</v>
      </c>
      <c r="X4" s="41"/>
      <c r="Y4" s="41"/>
      <c r="Z4" s="41"/>
      <c r="AA4" s="92"/>
      <c r="AB4" s="306" t="s">
        <v>459</v>
      </c>
      <c r="AC4" s="306"/>
      <c r="AD4" s="306"/>
      <c r="AE4" s="306"/>
      <c r="AF4" s="300"/>
      <c r="AI4" s="2">
        <v>1</v>
      </c>
      <c r="AK4" s="4">
        <v>3.5</v>
      </c>
      <c r="AL4" s="4">
        <v>4</v>
      </c>
      <c r="AM4" s="4">
        <v>5</v>
      </c>
      <c r="AN4" s="4">
        <v>8</v>
      </c>
      <c r="AO4" s="4"/>
      <c r="AP4" s="4">
        <v>3.5</v>
      </c>
      <c r="AQ4" s="4">
        <v>4</v>
      </c>
      <c r="AR4" s="4">
        <v>5</v>
      </c>
      <c r="AS4" s="4">
        <v>8</v>
      </c>
      <c r="AT4" s="4"/>
      <c r="AU4" s="4">
        <v>3.5</v>
      </c>
      <c r="AV4" s="4">
        <v>4</v>
      </c>
      <c r="AW4" s="4">
        <v>5</v>
      </c>
      <c r="AX4" s="4">
        <v>8</v>
      </c>
      <c r="AY4" s="4"/>
      <c r="AZ4" s="4">
        <v>3.5</v>
      </c>
      <c r="BA4" s="4">
        <v>4</v>
      </c>
      <c r="BB4" s="4">
        <v>5</v>
      </c>
      <c r="BC4" s="4">
        <v>8</v>
      </c>
      <c r="BD4" s="4"/>
      <c r="BE4" s="4">
        <v>3.5</v>
      </c>
      <c r="BF4" s="4">
        <v>4</v>
      </c>
      <c r="BG4" s="4">
        <v>5</v>
      </c>
      <c r="BH4" s="4">
        <v>8</v>
      </c>
      <c r="BI4" s="4"/>
      <c r="BJ4" s="4">
        <v>3.5</v>
      </c>
      <c r="BK4" s="4">
        <v>4</v>
      </c>
      <c r="BL4" s="4">
        <v>5</v>
      </c>
      <c r="BM4" s="4">
        <v>8</v>
      </c>
      <c r="BN4" s="4"/>
    </row>
    <row r="5" spans="2:88" x14ac:dyDescent="0.2">
      <c r="C5" s="39"/>
      <c r="D5" s="39"/>
      <c r="E5" s="39"/>
      <c r="F5" s="39"/>
      <c r="G5" s="91"/>
      <c r="H5" s="41"/>
      <c r="I5" s="41"/>
      <c r="J5" s="41"/>
      <c r="K5" s="41"/>
      <c r="L5" s="92"/>
      <c r="M5" s="306"/>
      <c r="N5" s="306"/>
      <c r="O5" s="306"/>
      <c r="P5" s="306"/>
      <c r="Q5" s="300"/>
      <c r="R5" s="349"/>
      <c r="S5" s="349"/>
      <c r="T5" s="349"/>
      <c r="U5" s="349"/>
      <c r="V5" s="341"/>
      <c r="W5" s="41"/>
      <c r="X5" s="41"/>
      <c r="Y5" s="41"/>
      <c r="Z5" s="41"/>
      <c r="AA5" s="92"/>
      <c r="AB5" s="306"/>
      <c r="AC5" s="306"/>
      <c r="AD5" s="306"/>
      <c r="AE5" s="306"/>
      <c r="AF5" s="300"/>
      <c r="AI5" s="2">
        <v>2</v>
      </c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88" x14ac:dyDescent="0.2">
      <c r="C6" s="271"/>
      <c r="D6" s="271"/>
      <c r="E6" s="271"/>
      <c r="F6" s="271"/>
      <c r="G6" s="271"/>
      <c r="H6" s="276"/>
      <c r="I6" s="276"/>
      <c r="J6" s="276"/>
      <c r="K6" s="276"/>
      <c r="L6" s="276"/>
      <c r="M6" s="307"/>
      <c r="N6" s="307"/>
      <c r="O6" s="307"/>
      <c r="P6" s="307"/>
      <c r="Q6" s="307"/>
      <c r="R6" s="378"/>
      <c r="S6" s="378"/>
      <c r="T6" s="378"/>
      <c r="U6" s="378"/>
      <c r="V6" s="378"/>
      <c r="W6" s="276"/>
      <c r="X6" s="276"/>
      <c r="Y6" s="276"/>
      <c r="Z6" s="276"/>
      <c r="AA6" s="276"/>
      <c r="AB6" s="307"/>
      <c r="AC6" s="307"/>
      <c r="AD6" s="307"/>
      <c r="AE6" s="307"/>
      <c r="AF6" s="307"/>
      <c r="AI6" s="2">
        <v>3</v>
      </c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2:88" x14ac:dyDescent="0.2">
      <c r="B7" s="2" t="s">
        <v>464</v>
      </c>
      <c r="D7" s="274">
        <f>D18</f>
        <v>0</v>
      </c>
      <c r="E7" s="274">
        <f>E19</f>
        <v>0</v>
      </c>
      <c r="I7" s="274">
        <f>I18</f>
        <v>0</v>
      </c>
      <c r="J7" s="274">
        <f>J19</f>
        <v>0</v>
      </c>
      <c r="N7" s="274">
        <f>N18</f>
        <v>0</v>
      </c>
      <c r="O7" s="274">
        <f>O19</f>
        <v>0</v>
      </c>
      <c r="S7" s="274">
        <f>S18</f>
        <v>0</v>
      </c>
      <c r="T7" s="274">
        <f>T19</f>
        <v>0</v>
      </c>
      <c r="X7" s="274">
        <f>X18</f>
        <v>0</v>
      </c>
      <c r="Y7" s="274">
        <f>Y19</f>
        <v>0</v>
      </c>
      <c r="AC7" s="274">
        <f>AC18</f>
        <v>0</v>
      </c>
      <c r="AD7" s="274">
        <f>AD19</f>
        <v>0</v>
      </c>
      <c r="AI7" s="2">
        <v>4</v>
      </c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2:88" x14ac:dyDescent="0.2">
      <c r="B8" s="2" t="s">
        <v>469</v>
      </c>
      <c r="F8" s="274">
        <f>F20</f>
        <v>0</v>
      </c>
      <c r="K8" s="274">
        <f>K20</f>
        <v>0</v>
      </c>
      <c r="P8" s="274">
        <f>P20</f>
        <v>0</v>
      </c>
      <c r="U8" s="274">
        <f>U20</f>
        <v>0</v>
      </c>
      <c r="Z8" s="274">
        <f>Z20</f>
        <v>0</v>
      </c>
      <c r="AE8" s="274">
        <f>AE20</f>
        <v>0</v>
      </c>
      <c r="AI8" s="2">
        <v>5</v>
      </c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2:88" x14ac:dyDescent="0.2">
      <c r="B9" s="2" t="s">
        <v>465</v>
      </c>
      <c r="C9" s="274">
        <f>C21</f>
        <v>0</v>
      </c>
      <c r="D9" s="274">
        <f>D22</f>
        <v>0</v>
      </c>
      <c r="E9" s="274">
        <f>E23</f>
        <v>0</v>
      </c>
      <c r="F9" s="274">
        <f>F24</f>
        <v>0</v>
      </c>
      <c r="H9" s="274">
        <f>H21</f>
        <v>0</v>
      </c>
      <c r="I9" s="274">
        <f>I22</f>
        <v>0</v>
      </c>
      <c r="J9" s="274">
        <f>J23</f>
        <v>0</v>
      </c>
      <c r="K9" s="274">
        <f>K24</f>
        <v>0</v>
      </c>
      <c r="M9" s="274">
        <f>M21</f>
        <v>0</v>
      </c>
      <c r="N9" s="274">
        <f>N22</f>
        <v>0</v>
      </c>
      <c r="O9" s="274">
        <f>O23</f>
        <v>0</v>
      </c>
      <c r="P9" s="274">
        <f>P24</f>
        <v>0</v>
      </c>
      <c r="R9" s="274">
        <f>R21</f>
        <v>0</v>
      </c>
      <c r="S9" s="274">
        <f>S22</f>
        <v>0</v>
      </c>
      <c r="T9" s="274">
        <f>T23</f>
        <v>0</v>
      </c>
      <c r="U9" s="274">
        <f>U24</f>
        <v>0</v>
      </c>
      <c r="W9" s="274">
        <f>W21</f>
        <v>0</v>
      </c>
      <c r="X9" s="274">
        <f>X22</f>
        <v>0</v>
      </c>
      <c r="Y9" s="274">
        <f>Y23</f>
        <v>0</v>
      </c>
      <c r="Z9" s="274">
        <f>Z24</f>
        <v>0</v>
      </c>
      <c r="AB9" s="274">
        <f>AB21</f>
        <v>0</v>
      </c>
      <c r="AC9" s="274">
        <f>AC22</f>
        <v>0</v>
      </c>
      <c r="AD9" s="274">
        <f>AD23</f>
        <v>0</v>
      </c>
      <c r="AE9" s="274">
        <f>AE24</f>
        <v>0</v>
      </c>
      <c r="AI9" s="2">
        <v>6</v>
      </c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2:88" x14ac:dyDescent="0.2">
      <c r="B10" s="2" t="s">
        <v>470</v>
      </c>
      <c r="E10" s="274">
        <f>E25</f>
        <v>0</v>
      </c>
      <c r="F10" s="274">
        <f>F26</f>
        <v>0</v>
      </c>
      <c r="J10" s="274">
        <f>J25</f>
        <v>0</v>
      </c>
      <c r="K10" s="274">
        <f>K26</f>
        <v>0</v>
      </c>
      <c r="O10" s="274">
        <f>O25</f>
        <v>0</v>
      </c>
      <c r="P10" s="274">
        <f>P26</f>
        <v>0</v>
      </c>
      <c r="T10" s="274">
        <f>T25</f>
        <v>0</v>
      </c>
      <c r="U10" s="274">
        <f>U26</f>
        <v>0</v>
      </c>
      <c r="Y10" s="274">
        <f>Y25</f>
        <v>0</v>
      </c>
      <c r="Z10" s="274">
        <f>Z26</f>
        <v>0</v>
      </c>
      <c r="AD10" s="274">
        <f>AD25</f>
        <v>0</v>
      </c>
      <c r="AE10" s="274">
        <f>AE26</f>
        <v>0</v>
      </c>
      <c r="AI10" s="2">
        <v>7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2:88" x14ac:dyDescent="0.2">
      <c r="B11" s="2" t="s">
        <v>460</v>
      </c>
      <c r="C11" s="274">
        <f>C27</f>
        <v>0</v>
      </c>
      <c r="D11" s="274">
        <f>D28</f>
        <v>0</v>
      </c>
      <c r="H11" s="274">
        <f>H27</f>
        <v>0</v>
      </c>
      <c r="I11" s="274">
        <f>I28</f>
        <v>0</v>
      </c>
      <c r="M11" s="274">
        <f>M27</f>
        <v>0</v>
      </c>
      <c r="N11" s="274">
        <f>N28</f>
        <v>0</v>
      </c>
      <c r="R11" s="274">
        <f>R27</f>
        <v>0</v>
      </c>
      <c r="S11" s="274">
        <f>S28</f>
        <v>0</v>
      </c>
      <c r="W11" s="274">
        <f>W27</f>
        <v>0</v>
      </c>
      <c r="X11" s="274">
        <f>X28</f>
        <v>0</v>
      </c>
      <c r="AB11" s="274">
        <f>AB27</f>
        <v>0</v>
      </c>
      <c r="AC11" s="274">
        <f>AC28</f>
        <v>0</v>
      </c>
      <c r="AI11" s="2">
        <v>8</v>
      </c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2:88" x14ac:dyDescent="0.2">
      <c r="B12" s="2" t="s">
        <v>472</v>
      </c>
      <c r="C12" s="274">
        <f>C29</f>
        <v>0</v>
      </c>
      <c r="D12" s="274">
        <f>D30</f>
        <v>0</v>
      </c>
      <c r="F12" s="274">
        <f>IF(ISERROR(F31),"niet leverbaar",F31)</f>
        <v>0</v>
      </c>
      <c r="H12" s="274">
        <f>H29</f>
        <v>0</v>
      </c>
      <c r="I12" s="274">
        <f>I30</f>
        <v>0</v>
      </c>
      <c r="K12" s="274">
        <f>IF(ISERROR(K31),"niet leverbaar",K31)</f>
        <v>0</v>
      </c>
      <c r="M12" s="274">
        <f>M29</f>
        <v>0</v>
      </c>
      <c r="N12" s="274">
        <f>N30</f>
        <v>0</v>
      </c>
      <c r="P12" s="274">
        <f>IF(ISERROR(P31),"niet leverbaar",P31)</f>
        <v>0</v>
      </c>
      <c r="R12" s="274">
        <f>R29</f>
        <v>0</v>
      </c>
      <c r="S12" s="274">
        <f>S30</f>
        <v>0</v>
      </c>
      <c r="U12" s="274">
        <f>IF(ISERROR(U31),"niet leverbaar",U31)</f>
        <v>0</v>
      </c>
      <c r="W12" s="274">
        <f>W29</f>
        <v>0</v>
      </c>
      <c r="X12" s="274">
        <f>X30</f>
        <v>0</v>
      </c>
      <c r="Z12" s="274">
        <f>IF(ISERROR(Z31),"niet leverbaar",Z31)</f>
        <v>0</v>
      </c>
      <c r="AB12" s="274">
        <f>AB29</f>
        <v>0</v>
      </c>
      <c r="AC12" s="274">
        <f>AC30</f>
        <v>0</v>
      </c>
      <c r="AE12" s="274">
        <f>IF(ISERROR(AE31),"niet leverbaar",AE31)</f>
        <v>0</v>
      </c>
      <c r="AI12" s="2">
        <v>9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88" x14ac:dyDescent="0.2">
      <c r="B13" s="2" t="s">
        <v>471</v>
      </c>
      <c r="C13" s="274">
        <f>C32</f>
        <v>0</v>
      </c>
      <c r="D13" s="274">
        <f>D33</f>
        <v>0</v>
      </c>
      <c r="E13" s="274">
        <f>IF(ISERROR(E34),"niet leverbaar",E34)</f>
        <v>0</v>
      </c>
      <c r="F13" s="274">
        <f>F35</f>
        <v>0</v>
      </c>
      <c r="H13" s="274">
        <f>H32</f>
        <v>0</v>
      </c>
      <c r="I13" s="274">
        <f>I33</f>
        <v>0</v>
      </c>
      <c r="J13" s="274">
        <f>IF(ISERROR(J34),"niet leverbaar",J34)</f>
        <v>0</v>
      </c>
      <c r="K13" s="274">
        <f>K35</f>
        <v>0</v>
      </c>
      <c r="M13" s="274">
        <f>M32</f>
        <v>0</v>
      </c>
      <c r="N13" s="274">
        <f>N33</f>
        <v>0</v>
      </c>
      <c r="O13" s="274">
        <f>IF(ISERROR(O34),"niet leverbaar",O34)</f>
        <v>0</v>
      </c>
      <c r="P13" s="274">
        <f>P35</f>
        <v>0</v>
      </c>
      <c r="R13" s="274">
        <f>R32</f>
        <v>0</v>
      </c>
      <c r="S13" s="274">
        <f>S33</f>
        <v>0</v>
      </c>
      <c r="T13" s="274">
        <f>IF(ISERROR(T34),"niet leverbaar",T34)</f>
        <v>0</v>
      </c>
      <c r="U13" s="274">
        <f>U35</f>
        <v>0</v>
      </c>
      <c r="W13" s="274">
        <f>W32</f>
        <v>0</v>
      </c>
      <c r="X13" s="274">
        <f>X33</f>
        <v>0</v>
      </c>
      <c r="Y13" s="274">
        <f>IF(ISERROR(Y34),"niet leverbaar",Y34)</f>
        <v>0</v>
      </c>
      <c r="Z13" s="274">
        <f>Z35</f>
        <v>0</v>
      </c>
      <c r="AB13" s="274">
        <f>AB32</f>
        <v>0</v>
      </c>
      <c r="AC13" s="274">
        <f>AC33</f>
        <v>0</v>
      </c>
      <c r="AD13" s="274">
        <f>IF(ISERROR(AD34),"niet leverbaar",AD34)</f>
        <v>0</v>
      </c>
      <c r="AE13" s="274">
        <f>AE35</f>
        <v>0</v>
      </c>
      <c r="AI13" s="2">
        <v>10</v>
      </c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88" x14ac:dyDescent="0.2">
      <c r="B14" s="2" t="s">
        <v>463</v>
      </c>
      <c r="C14" s="274">
        <f>C36</f>
        <v>0</v>
      </c>
      <c r="D14" s="274">
        <f t="shared" ref="D14:F14" si="0">D36</f>
        <v>0</v>
      </c>
      <c r="E14" s="274">
        <f t="shared" si="0"/>
        <v>0</v>
      </c>
      <c r="F14" s="274">
        <f t="shared" si="0"/>
        <v>0</v>
      </c>
      <c r="H14" s="274">
        <f>H36</f>
        <v>0</v>
      </c>
      <c r="I14" s="274">
        <f t="shared" ref="I14:K14" si="1">I36</f>
        <v>0</v>
      </c>
      <c r="J14" s="274">
        <f t="shared" si="1"/>
        <v>0</v>
      </c>
      <c r="K14" s="274">
        <f t="shared" si="1"/>
        <v>0</v>
      </c>
      <c r="M14" s="274">
        <f>M36</f>
        <v>0</v>
      </c>
      <c r="N14" s="274">
        <f t="shared" ref="N14:P14" si="2">N36</f>
        <v>0</v>
      </c>
      <c r="O14" s="274">
        <f t="shared" si="2"/>
        <v>0</v>
      </c>
      <c r="P14" s="274">
        <f t="shared" si="2"/>
        <v>0</v>
      </c>
      <c r="R14" s="274">
        <f>R36</f>
        <v>0</v>
      </c>
      <c r="S14" s="274">
        <f t="shared" ref="S14:U14" si="3">S36</f>
        <v>0</v>
      </c>
      <c r="T14" s="274">
        <f t="shared" si="3"/>
        <v>0</v>
      </c>
      <c r="U14" s="274">
        <f t="shared" si="3"/>
        <v>0</v>
      </c>
      <c r="W14" s="274">
        <f>W36</f>
        <v>0</v>
      </c>
      <c r="X14" s="274">
        <f t="shared" ref="X14:Z14" si="4">X36</f>
        <v>0</v>
      </c>
      <c r="Y14" s="274">
        <f t="shared" si="4"/>
        <v>0</v>
      </c>
      <c r="Z14" s="274">
        <f t="shared" si="4"/>
        <v>0</v>
      </c>
      <c r="AB14" s="274">
        <f>AB36</f>
        <v>0</v>
      </c>
      <c r="AC14" s="274">
        <f t="shared" ref="AC14:AE14" si="5">AC36</f>
        <v>0</v>
      </c>
      <c r="AD14" s="274">
        <f t="shared" si="5"/>
        <v>0</v>
      </c>
      <c r="AE14" s="274">
        <f t="shared" si="5"/>
        <v>0</v>
      </c>
      <c r="AI14" s="2">
        <v>11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88" ht="15" x14ac:dyDescent="0.25">
      <c r="AI15" s="2">
        <v>12</v>
      </c>
      <c r="AK15" s="44" t="s">
        <v>146</v>
      </c>
      <c r="AL15" s="44"/>
      <c r="AM15" s="38"/>
      <c r="AN15" s="38"/>
      <c r="AO15" s="368"/>
      <c r="AP15" s="45" t="s">
        <v>147</v>
      </c>
      <c r="AQ15" s="45"/>
      <c r="AR15" s="43"/>
      <c r="AS15" s="43"/>
      <c r="AT15" s="365"/>
      <c r="AU15" s="303" t="s">
        <v>539</v>
      </c>
      <c r="AV15" s="303"/>
      <c r="AW15" s="304"/>
      <c r="AX15" s="304"/>
      <c r="AY15" s="367"/>
      <c r="AZ15" s="322" t="s">
        <v>28</v>
      </c>
      <c r="BA15" s="322"/>
      <c r="BB15" s="323"/>
      <c r="BC15" s="323"/>
      <c r="BD15" s="324"/>
      <c r="BE15" s="366" t="s">
        <v>540</v>
      </c>
      <c r="BF15" s="365"/>
      <c r="BG15" s="365"/>
      <c r="BH15" s="365"/>
      <c r="BI15" s="365"/>
      <c r="BJ15" s="303" t="str">
        <f>IF(Stappen!$BJ$24=OR(1,2),Kostengegevens!CA15,Kostengegevens!CF15)</f>
        <v>schaduwprijzen kantoren</v>
      </c>
      <c r="BK15" s="303"/>
      <c r="BL15" s="304"/>
      <c r="BM15" s="304"/>
      <c r="BN15" s="367"/>
      <c r="CA15" s="327" t="s">
        <v>564</v>
      </c>
      <c r="CB15" s="327"/>
      <c r="CC15" s="328"/>
      <c r="CD15" s="328"/>
      <c r="CE15" s="329"/>
      <c r="CF15" s="327" t="s">
        <v>565</v>
      </c>
      <c r="CG15" s="327"/>
      <c r="CH15" s="328"/>
      <c r="CI15" s="328"/>
      <c r="CJ15" s="329"/>
    </row>
    <row r="16" spans="2:88" ht="15" x14ac:dyDescent="0.25">
      <c r="AI16" s="2">
        <v>13</v>
      </c>
      <c r="AK16" s="358"/>
      <c r="AL16" s="358"/>
      <c r="AM16" s="358"/>
      <c r="AN16" s="358"/>
      <c r="AO16" s="359"/>
      <c r="AP16" s="360"/>
      <c r="AQ16" s="360"/>
      <c r="AR16" s="360"/>
      <c r="AS16" s="360"/>
      <c r="AT16" s="361"/>
      <c r="AU16" s="355"/>
      <c r="AV16" s="355"/>
      <c r="AW16" s="355"/>
      <c r="AX16" s="355"/>
      <c r="AY16" s="181"/>
      <c r="AZ16" s="349"/>
      <c r="BA16" s="349"/>
      <c r="BB16" s="349"/>
      <c r="BC16" s="349"/>
      <c r="BD16" s="362"/>
      <c r="BE16" s="335"/>
      <c r="BF16" s="335"/>
      <c r="BG16" s="335"/>
      <c r="BH16" s="335"/>
      <c r="BI16" s="335"/>
      <c r="BJ16" s="357"/>
      <c r="BK16" s="357"/>
      <c r="BL16" s="357"/>
      <c r="BM16" s="357"/>
      <c r="BN16" s="363"/>
      <c r="CA16" s="357"/>
      <c r="CB16" s="357"/>
      <c r="CC16" s="357"/>
      <c r="CD16" s="357"/>
      <c r="CE16" s="363"/>
      <c r="CF16" s="357"/>
      <c r="CG16" s="357"/>
      <c r="CH16" s="357"/>
      <c r="CI16" s="357"/>
      <c r="CJ16" s="363"/>
    </row>
    <row r="17" spans="2:88" ht="15" x14ac:dyDescent="0.25">
      <c r="AI17" s="2">
        <v>14</v>
      </c>
      <c r="AK17" s="331">
        <v>1</v>
      </c>
      <c r="AL17" s="331">
        <v>2</v>
      </c>
      <c r="AM17" s="331">
        <v>3</v>
      </c>
      <c r="AN17" s="331">
        <v>4</v>
      </c>
      <c r="AO17" s="331">
        <v>5</v>
      </c>
      <c r="AP17" s="332">
        <v>11</v>
      </c>
      <c r="AQ17" s="332">
        <v>12</v>
      </c>
      <c r="AR17" s="332">
        <v>13</v>
      </c>
      <c r="AS17" s="332">
        <v>14</v>
      </c>
      <c r="AT17" s="332">
        <v>15</v>
      </c>
      <c r="AU17" s="333">
        <v>21</v>
      </c>
      <c r="AV17" s="333">
        <v>22</v>
      </c>
      <c r="AW17" s="333">
        <v>23</v>
      </c>
      <c r="AX17" s="333">
        <v>24</v>
      </c>
      <c r="AY17" s="333">
        <v>25</v>
      </c>
      <c r="AZ17" s="334">
        <v>31</v>
      </c>
      <c r="BA17" s="334">
        <v>32</v>
      </c>
      <c r="BB17" s="334">
        <v>33</v>
      </c>
      <c r="BC17" s="334">
        <v>34</v>
      </c>
      <c r="BD17" s="334">
        <v>35</v>
      </c>
      <c r="BE17" s="335">
        <v>41</v>
      </c>
      <c r="BF17" s="335">
        <v>42</v>
      </c>
      <c r="BG17" s="335">
        <v>43</v>
      </c>
      <c r="BH17" s="335">
        <v>44</v>
      </c>
      <c r="BI17" s="335">
        <v>45</v>
      </c>
      <c r="BJ17" s="336">
        <f>IF(Stappen!$BJ$24=OR(1,2),CA17,CF17)</f>
        <v>51</v>
      </c>
      <c r="BK17" s="336">
        <f>IF(Stappen!$BJ$24=OR(1,2),CB17,CG17)</f>
        <v>52</v>
      </c>
      <c r="BL17" s="336">
        <f>IF(Stappen!$BJ$24=OR(1,2),CC17,CH17)</f>
        <v>53</v>
      </c>
      <c r="BM17" s="336">
        <f>IF(Stappen!$BJ$24=OR(1,2),CD17,CI17)</f>
        <v>54</v>
      </c>
      <c r="BN17" s="336">
        <f>IF(Stappen!$BJ$24=OR(1,2),Kostengegevens!CE17,Kostengegevens!CJ17)</f>
        <v>55</v>
      </c>
      <c r="CA17" s="336">
        <v>51</v>
      </c>
      <c r="CB17" s="336">
        <v>52</v>
      </c>
      <c r="CC17" s="336">
        <v>53</v>
      </c>
      <c r="CD17" s="336">
        <v>54</v>
      </c>
      <c r="CE17" s="336">
        <v>55</v>
      </c>
      <c r="CF17" s="336">
        <v>51</v>
      </c>
      <c r="CG17" s="336">
        <v>52</v>
      </c>
      <c r="CH17" s="336">
        <v>53</v>
      </c>
      <c r="CI17" s="336">
        <v>54</v>
      </c>
      <c r="CJ17" s="336">
        <v>55</v>
      </c>
    </row>
    <row r="18" spans="2:88" ht="15" x14ac:dyDescent="0.25">
      <c r="B18" s="99" t="s">
        <v>64</v>
      </c>
      <c r="C18" s="4"/>
      <c r="D18" s="4">
        <f>HLOOKUP($AJ18,$AK$4:$AN$36,$AI18,FALSE)-$AK18</f>
        <v>0</v>
      </c>
      <c r="E18" s="4"/>
      <c r="F18" s="4"/>
      <c r="G18" s="4"/>
      <c r="H18" s="4"/>
      <c r="I18" s="4">
        <f>HLOOKUP($AJ18,$AP$4:$AS$36,$AI18,FALSE)-$AP18</f>
        <v>0</v>
      </c>
      <c r="J18" s="4"/>
      <c r="K18" s="4"/>
      <c r="M18" s="4"/>
      <c r="N18" s="4">
        <f>HLOOKUP($AJ18,$AU$4:$AX$36,$AI18,FALSE)-$AU18</f>
        <v>0</v>
      </c>
      <c r="O18" s="4"/>
      <c r="P18" s="4"/>
      <c r="Q18" s="4"/>
      <c r="R18" s="4"/>
      <c r="S18" s="4">
        <f>HLOOKUP($AJ18,$AZ$4:$BC$36,$AI18,FALSE)-$AZ18</f>
        <v>0</v>
      </c>
      <c r="T18" s="4"/>
      <c r="U18" s="4"/>
      <c r="W18" s="4"/>
      <c r="X18" s="4">
        <f>HLOOKUP($AJ18,$BE$4:$BH$36,$AI18,FALSE)-$BE18</f>
        <v>0</v>
      </c>
      <c r="Y18" s="4"/>
      <c r="Z18" s="4"/>
      <c r="AA18" s="4"/>
      <c r="AB18" s="4"/>
      <c r="AC18" s="4">
        <f>HLOOKUP($AJ18,$BJ$4:$BM$36,$AI18,FALSE)-$BJ18</f>
        <v>0</v>
      </c>
      <c r="AD18" s="4"/>
      <c r="AE18" s="4"/>
      <c r="AH18" s="2" t="s">
        <v>64</v>
      </c>
      <c r="AI18" s="2">
        <v>15</v>
      </c>
      <c r="AJ18" s="278">
        <f>AJ41</f>
        <v>3.5</v>
      </c>
      <c r="AK18" s="4">
        <v>53.376730000367388</v>
      </c>
      <c r="AL18" s="4">
        <v>54.539929999737069</v>
      </c>
      <c r="AM18" s="4">
        <v>58.028130000224337</v>
      </c>
      <c r="AN18" s="4">
        <v>65.193730000173673</v>
      </c>
      <c r="AO18"/>
      <c r="AP18" s="4">
        <v>22.783524999977089</v>
      </c>
      <c r="AQ18" s="4">
        <v>23.955150000052527</v>
      </c>
      <c r="AR18" s="4">
        <v>25.412399999971967</v>
      </c>
      <c r="AS18" s="4">
        <v>32.445400000084192</v>
      </c>
      <c r="AT18"/>
      <c r="AU18" s="4">
        <v>96.831230000010692</v>
      </c>
      <c r="AV18" s="4">
        <v>99.624430000083521</v>
      </c>
      <c r="AW18" s="4">
        <v>104.74763000011444</v>
      </c>
      <c r="AX18" s="4">
        <v>121.70322999998461</v>
      </c>
      <c r="AY18"/>
      <c r="AZ18" s="4">
        <v>976.77227500081062</v>
      </c>
      <c r="BA18" s="4">
        <v>1048.4889000002295</v>
      </c>
      <c r="BB18" s="4">
        <v>1120.4961499981582</v>
      </c>
      <c r="BC18" s="4">
        <v>1550.8091500010341</v>
      </c>
      <c r="BD18"/>
      <c r="BE18" s="4">
        <v>28.989979999954812</v>
      </c>
      <c r="BF18" s="4">
        <v>29.393180000042776</v>
      </c>
      <c r="BG18" s="4">
        <v>32.126380000001518</v>
      </c>
      <c r="BH18" s="4">
        <v>34.721980000002077</v>
      </c>
      <c r="BI18"/>
      <c r="BJ18" s="4">
        <f>IF(Stappen!$BJ$24=OR(1,2),CA18,CF18)</f>
        <v>21.436749999964377</v>
      </c>
      <c r="BK18" s="4">
        <f>IF(Stappen!$BJ$24=OR(1,2),CB18,CG18)</f>
        <v>22.211750000045868</v>
      </c>
      <c r="BL18" s="4">
        <f>IF(Stappen!$BJ$24=OR(1,2),CC18,CH18)</f>
        <v>22.991749999957392</v>
      </c>
      <c r="BM18" s="4">
        <f>IF(Stappen!$BJ$24=OR(1,2),CD18,CI18)</f>
        <v>27.661750000028405</v>
      </c>
      <c r="BN18"/>
      <c r="BO18" s="4" t="s">
        <v>486</v>
      </c>
      <c r="CA18" s="4">
        <v>21.436750000051688</v>
      </c>
      <c r="CB18" s="4">
        <v>22.211749999958556</v>
      </c>
      <c r="CC18" s="4">
        <v>22.991750000044703</v>
      </c>
      <c r="CD18" s="4">
        <v>27.661749999970198</v>
      </c>
      <c r="CE18"/>
      <c r="CF18" s="4">
        <v>21.436749999964377</v>
      </c>
      <c r="CG18" s="4">
        <v>22.211750000045868</v>
      </c>
      <c r="CH18" s="4">
        <v>22.991749999957392</v>
      </c>
      <c r="CI18" s="4">
        <v>27.661750000028405</v>
      </c>
      <c r="CJ18"/>
    </row>
    <row r="19" spans="2:88" ht="15" x14ac:dyDescent="0.25">
      <c r="B19" s="99" t="s">
        <v>65</v>
      </c>
      <c r="C19" s="4"/>
      <c r="D19" s="4"/>
      <c r="E19" s="4">
        <f>HLOOKUP($AJ19,$AK$4:$AN$36,$AI19,FALSE)-$AK19</f>
        <v>0</v>
      </c>
      <c r="F19" s="4"/>
      <c r="G19" s="4"/>
      <c r="H19" s="4"/>
      <c r="I19" s="4"/>
      <c r="J19" s="4">
        <f>HLOOKUP($AJ19,$AP$4:$AS$36,$AI19,FALSE)-$AP19</f>
        <v>0</v>
      </c>
      <c r="K19" s="4"/>
      <c r="M19" s="4"/>
      <c r="N19" s="4"/>
      <c r="O19" s="4">
        <f>HLOOKUP($AJ19,$AU$4:$AX$36,$AI19,FALSE)-$AU19</f>
        <v>0</v>
      </c>
      <c r="P19" s="4"/>
      <c r="Q19" s="4"/>
      <c r="R19" s="4"/>
      <c r="S19" s="4"/>
      <c r="T19" s="4">
        <f>HLOOKUP($AJ19,$AZ$4:$BC$36,$AI19,FALSE)-$AZ19</f>
        <v>0</v>
      </c>
      <c r="U19" s="4"/>
      <c r="W19" s="4"/>
      <c r="X19" s="4"/>
      <c r="Y19" s="4">
        <f>HLOOKUP($AJ19,$BE$4:$BH$36,$AI19,FALSE)-$BE19</f>
        <v>0</v>
      </c>
      <c r="Z19" s="4"/>
      <c r="AA19" s="4"/>
      <c r="AB19" s="4"/>
      <c r="AC19" s="4"/>
      <c r="AD19" s="4">
        <f>HLOOKUP($AJ19,$BJ$4:$BM$36,$AI19,FALSE)-$BJ19</f>
        <v>0</v>
      </c>
      <c r="AE19" s="4"/>
      <c r="AH19" s="2" t="s">
        <v>65</v>
      </c>
      <c r="AI19" s="2">
        <v>16</v>
      </c>
      <c r="AJ19" s="278">
        <f>AJ41</f>
        <v>3.5</v>
      </c>
      <c r="AK19" s="4">
        <v>87.641129999887198</v>
      </c>
      <c r="AL19" s="4">
        <v>88.804330000188202</v>
      </c>
      <c r="AM19" s="4">
        <v>92.292529999744147</v>
      </c>
      <c r="AN19" s="4">
        <v>99.458129999926314</v>
      </c>
      <c r="AO19"/>
      <c r="AP19" s="4">
        <v>37.335374999966007</v>
      </c>
      <c r="AQ19" s="4">
        <v>38.506999999983236</v>
      </c>
      <c r="AR19" s="4">
        <v>39.9642500000773</v>
      </c>
      <c r="AS19" s="4">
        <v>46.997250000014901</v>
      </c>
      <c r="AT19"/>
      <c r="AU19" s="4">
        <v>168.39042999991216</v>
      </c>
      <c r="AV19" s="4">
        <v>171.18362999998499</v>
      </c>
      <c r="AW19" s="4">
        <v>176.30683000013232</v>
      </c>
      <c r="AX19" s="4">
        <v>193.2624300000025</v>
      </c>
      <c r="AY19"/>
      <c r="AZ19" s="4">
        <v>1532.3702250011265</v>
      </c>
      <c r="BA19" s="4">
        <v>1604.0868500005454</v>
      </c>
      <c r="BB19" s="4">
        <v>1676.0940999984741</v>
      </c>
      <c r="BC19" s="4">
        <v>2106.4070999976248</v>
      </c>
      <c r="BD19"/>
      <c r="BE19" s="4">
        <v>45.569879999966361</v>
      </c>
      <c r="BF19" s="4">
        <v>45.973079999996116</v>
      </c>
      <c r="BG19" s="4">
        <v>48.70628000004217</v>
      </c>
      <c r="BH19" s="4">
        <v>51.301880000013625</v>
      </c>
      <c r="BI19"/>
      <c r="BJ19" s="4">
        <f>IF(Stappen!$BJ$24=OR(1,2),CA19,CF19)</f>
        <v>37.576349999959348</v>
      </c>
      <c r="BK19" s="4">
        <f>IF(Stappen!$BJ$24=OR(1,2),CB19,CG19)</f>
        <v>38.351350000040838</v>
      </c>
      <c r="BL19" s="4">
        <f>IF(Stappen!$BJ$24=OR(1,2),CC19,CH19)</f>
        <v>39.131349999981467</v>
      </c>
      <c r="BM19" s="4">
        <f>IF(Stappen!$BJ$24=OR(1,2),CD19,CI19)</f>
        <v>43.801349999994272</v>
      </c>
      <c r="BN19"/>
      <c r="BO19" s="4" t="s">
        <v>486</v>
      </c>
      <c r="CA19" s="4">
        <v>37.576349999988452</v>
      </c>
      <c r="CB19" s="4">
        <v>38.351350000011735</v>
      </c>
      <c r="CC19" s="4">
        <v>39.131349999981467</v>
      </c>
      <c r="CD19" s="4">
        <v>43.801349999906961</v>
      </c>
      <c r="CE19"/>
      <c r="CF19" s="4">
        <v>37.576349999959348</v>
      </c>
      <c r="CG19" s="4">
        <v>38.351350000040838</v>
      </c>
      <c r="CH19" s="4">
        <v>39.131349999981467</v>
      </c>
      <c r="CI19" s="4">
        <v>43.801349999994272</v>
      </c>
      <c r="CJ19"/>
    </row>
    <row r="20" spans="2:88" ht="15" x14ac:dyDescent="0.25">
      <c r="B20" s="99" t="s">
        <v>417</v>
      </c>
      <c r="C20" s="4"/>
      <c r="D20" s="4"/>
      <c r="E20" s="4"/>
      <c r="F20" s="4">
        <f>HLOOKUP($AJ20,$AK$4:$AN$36,$AI20,FALSE)-$AK20</f>
        <v>0</v>
      </c>
      <c r="G20" s="4"/>
      <c r="H20" s="4"/>
      <c r="I20" s="4"/>
      <c r="J20" s="4"/>
      <c r="K20" s="4">
        <f>HLOOKUP($AJ20,$AP$4:$AS$36,$AI20,FALSE)-$AP20</f>
        <v>0</v>
      </c>
      <c r="M20" s="4"/>
      <c r="N20" s="4"/>
      <c r="O20" s="4"/>
      <c r="P20" s="4">
        <f>HLOOKUP($AJ20,$AU$4:$AX$36,$AI20,FALSE)-$AU20</f>
        <v>0</v>
      </c>
      <c r="Q20" s="4"/>
      <c r="R20" s="4"/>
      <c r="S20" s="4"/>
      <c r="T20" s="4"/>
      <c r="U20" s="4">
        <f>HLOOKUP($AJ20,$AZ$4:$BC$36,$AI20,FALSE)-$AZ20</f>
        <v>0</v>
      </c>
      <c r="W20" s="4"/>
      <c r="X20" s="4"/>
      <c r="Y20" s="4"/>
      <c r="Z20" s="4">
        <f>HLOOKUP($AJ20,$BE$4:$BH$36,$AI20,FALSE)-$BE20</f>
        <v>0</v>
      </c>
      <c r="AA20" s="4"/>
      <c r="AB20" s="4"/>
      <c r="AC20" s="4"/>
      <c r="AD20" s="4"/>
      <c r="AE20" s="4">
        <f>HLOOKUP($AJ20,$BJ$4:$BM$36,$AI20,FALSE)-$BJ20</f>
        <v>0</v>
      </c>
      <c r="AH20" s="2" t="s">
        <v>417</v>
      </c>
      <c r="AI20" s="2">
        <v>17</v>
      </c>
      <c r="AJ20" s="267">
        <f>AJ40</f>
        <v>3.5</v>
      </c>
      <c r="AK20" s="4">
        <v>73.403399999951944</v>
      </c>
      <c r="AL20" s="4">
        <v>78.50580000015907</v>
      </c>
      <c r="AM20" s="4">
        <v>88.760999999707565</v>
      </c>
      <c r="AN20" s="4">
        <v>173.19567579985596</v>
      </c>
      <c r="AO20"/>
      <c r="AP20" s="4">
        <v>11.448750000097789</v>
      </c>
      <c r="AQ20" s="4">
        <v>12.075749999901745</v>
      </c>
      <c r="AR20" s="4">
        <v>13.144250000070315</v>
      </c>
      <c r="AS20" s="4">
        <v>24.911795999971218</v>
      </c>
      <c r="AT20"/>
      <c r="AU20" s="4">
        <v>72.332400000072084</v>
      </c>
      <c r="AV20" s="4">
        <v>76.219800000078976</v>
      </c>
      <c r="AW20" s="4">
        <v>81.942500000004657</v>
      </c>
      <c r="AX20" s="4">
        <v>108.33326179999858</v>
      </c>
      <c r="AY20"/>
      <c r="AZ20" s="4">
        <v>383.3247499987483</v>
      </c>
      <c r="BA20" s="4">
        <v>398.95674999989569</v>
      </c>
      <c r="BB20" s="4">
        <v>432.65525000169873</v>
      </c>
      <c r="BC20" s="4">
        <v>1978.1609229966998</v>
      </c>
      <c r="BD20"/>
      <c r="BE20" s="4">
        <v>54.553400000004331</v>
      </c>
      <c r="BF20" s="4">
        <v>57.645799999998417</v>
      </c>
      <c r="BG20" s="4">
        <v>61.258499999996275</v>
      </c>
      <c r="BH20" s="4">
        <v>49.217190800001845</v>
      </c>
      <c r="BI20"/>
      <c r="BJ20" s="4">
        <f>IF(Stappen!$BJ$24=OR(1,2),CA20,CF20)</f>
        <v>2.7635000000009313</v>
      </c>
      <c r="BK20" s="4">
        <f>IF(Stappen!$BJ$24=OR(1,2),CB20,CG20)</f>
        <v>2.8585000000311993</v>
      </c>
      <c r="BL20" s="4">
        <f>IF(Stappen!$BJ$24=OR(1,2),CC20,CH20)</f>
        <v>3.0460000000020955</v>
      </c>
      <c r="BM20" s="4">
        <f>IF(Stappen!$BJ$24=OR(1,2),CD20,CI20)</f>
        <v>8.4942909999808762</v>
      </c>
      <c r="BN20"/>
      <c r="BO20" s="4" t="s">
        <v>487</v>
      </c>
      <c r="CA20" s="4">
        <v>2.7635000000009313</v>
      </c>
      <c r="CB20" s="4">
        <v>2.8584999999729916</v>
      </c>
      <c r="CC20" s="4">
        <v>3.0459999999729916</v>
      </c>
      <c r="CD20" s="4">
        <v>8.4942910000099801</v>
      </c>
      <c r="CE20"/>
      <c r="CF20" s="4">
        <v>2.7635000000009313</v>
      </c>
      <c r="CG20" s="4">
        <v>2.8585000000311993</v>
      </c>
      <c r="CH20" s="4">
        <v>3.0460000000020955</v>
      </c>
      <c r="CI20" s="4">
        <v>8.4942909999808762</v>
      </c>
      <c r="CJ20"/>
    </row>
    <row r="21" spans="2:88" ht="15" x14ac:dyDescent="0.25">
      <c r="B21" s="99" t="s">
        <v>336</v>
      </c>
      <c r="C21" s="4">
        <f>HLOOKUP($AJ21,$AK$4:$AN$36,$AI21,FALSE)-$AK21</f>
        <v>0</v>
      </c>
      <c r="D21" s="4"/>
      <c r="E21" s="4"/>
      <c r="F21" s="4"/>
      <c r="G21" s="4"/>
      <c r="H21" s="4">
        <f>HLOOKUP($AJ21,$AP$4:$AS$36,$AI21,FALSE)-$AP21</f>
        <v>0</v>
      </c>
      <c r="I21" s="4"/>
      <c r="J21" s="4"/>
      <c r="K21" s="4"/>
      <c r="M21" s="4">
        <f>HLOOKUP($AJ21,$AU$4:$AX$36,$AI21,FALSE)-$AU21</f>
        <v>0</v>
      </c>
      <c r="N21" s="4"/>
      <c r="O21" s="4"/>
      <c r="P21" s="4"/>
      <c r="Q21" s="4"/>
      <c r="R21" s="4">
        <f>HLOOKUP($AJ21,$AZ$4:$BC$36,$AI21,FALSE)-$AZ21</f>
        <v>0</v>
      </c>
      <c r="S21" s="4"/>
      <c r="T21" s="4"/>
      <c r="U21" s="4"/>
      <c r="W21" s="4">
        <f>HLOOKUP($AJ21,$BE$4:$BH$36,$AI21,FALSE)-$BE21</f>
        <v>0</v>
      </c>
      <c r="X21" s="4"/>
      <c r="Y21" s="4"/>
      <c r="Z21" s="4"/>
      <c r="AA21" s="4"/>
      <c r="AB21" s="4">
        <f>HLOOKUP($AJ21,$BJ$4:$BM$36,$AI21,FALSE)-$BJ21</f>
        <v>0</v>
      </c>
      <c r="AC21" s="4"/>
      <c r="AD21" s="4"/>
      <c r="AE21" s="4"/>
      <c r="AH21" s="2" t="s">
        <v>336</v>
      </c>
      <c r="AI21" s="2">
        <v>18</v>
      </c>
      <c r="AJ21" s="278">
        <f>AJ41</f>
        <v>3.5</v>
      </c>
      <c r="AK21" s="4">
        <v>50.700635000132024</v>
      </c>
      <c r="AL21" s="4">
        <v>52.055634999880567</v>
      </c>
      <c r="AM21" s="4">
        <v>54.765635000308976</v>
      </c>
      <c r="AN21" s="4">
        <v>62.895635000197217</v>
      </c>
      <c r="AO21"/>
      <c r="AP21" s="4">
        <v>29.717424999980722</v>
      </c>
      <c r="AQ21" s="4">
        <v>30.922425000055227</v>
      </c>
      <c r="AR21" s="4">
        <v>33.327425000083167</v>
      </c>
      <c r="AS21" s="4">
        <v>40.542424999934155</v>
      </c>
      <c r="AT21"/>
      <c r="AU21" s="4">
        <v>97.284884999855421</v>
      </c>
      <c r="AV21" s="4">
        <v>99.984885000041686</v>
      </c>
      <c r="AW21" s="4">
        <v>105.38988500018604</v>
      </c>
      <c r="AX21" s="4">
        <v>121.59988499933388</v>
      </c>
      <c r="AY21"/>
      <c r="AZ21" s="4">
        <v>1215.6242999974638</v>
      </c>
      <c r="BA21" s="4">
        <v>1287.3243000004441</v>
      </c>
      <c r="BB21" s="4">
        <v>1430.7343000024557</v>
      </c>
      <c r="BC21" s="4">
        <v>1860.9492999967188</v>
      </c>
      <c r="BD21"/>
      <c r="BE21" s="4">
        <v>18.903009999979986</v>
      </c>
      <c r="BF21" s="4">
        <v>19.208010000002105</v>
      </c>
      <c r="BG21" s="4">
        <v>19.828009999997448</v>
      </c>
      <c r="BH21" s="4">
        <v>21.683009999949718</v>
      </c>
      <c r="BI21"/>
      <c r="BJ21" s="4">
        <f>IF(Stappen!$BJ$24=OR(1,2),CA21,CF21)</f>
        <v>18.024124999996275</v>
      </c>
      <c r="BK21" s="4">
        <f>IF(Stappen!$BJ$24=OR(1,2),CB21,CG21)</f>
        <v>18.799125000019558</v>
      </c>
      <c r="BL21" s="4">
        <f>IF(Stappen!$BJ$24=OR(1,2),CC21,CH21)</f>
        <v>18.799125000019558</v>
      </c>
      <c r="BM21" s="4">
        <f>IF(Stappen!$BJ$24=OR(1,2),CD21,CI21)</f>
        <v>18.799125000048662</v>
      </c>
      <c r="BN21"/>
      <c r="BO21" s="4" t="s">
        <v>476</v>
      </c>
      <c r="CA21" s="4">
        <v>18.024124999996275</v>
      </c>
      <c r="CB21" s="4">
        <v>18.799124999903142</v>
      </c>
      <c r="CC21" s="4">
        <v>18.799125000077765</v>
      </c>
      <c r="CD21" s="4">
        <v>18.799124999844935</v>
      </c>
      <c r="CE21"/>
      <c r="CF21" s="4">
        <v>18.024124999996275</v>
      </c>
      <c r="CG21" s="4">
        <v>18.799125000019558</v>
      </c>
      <c r="CH21" s="4">
        <v>18.799125000019558</v>
      </c>
      <c r="CI21" s="4">
        <v>18.799125000048662</v>
      </c>
      <c r="CJ21"/>
    </row>
    <row r="22" spans="2:88" ht="15" x14ac:dyDescent="0.25">
      <c r="B22" s="99" t="s">
        <v>76</v>
      </c>
      <c r="C22" s="4"/>
      <c r="D22" s="4">
        <f>HLOOKUP($AJ22,$AK$4:$AN$36,$AI22,FALSE)-$AK22</f>
        <v>0</v>
      </c>
      <c r="E22" s="4"/>
      <c r="F22" s="4"/>
      <c r="G22" s="4"/>
      <c r="H22" s="4"/>
      <c r="I22" s="4">
        <f>HLOOKUP($AJ22,$AP$4:$AS$36,$AI22,FALSE)-$AP22</f>
        <v>0</v>
      </c>
      <c r="J22" s="4"/>
      <c r="K22" s="4"/>
      <c r="M22" s="4"/>
      <c r="N22" s="4">
        <f>HLOOKUP($AJ22,$AU$4:$AX$36,$AI22,FALSE)-$AU22</f>
        <v>0</v>
      </c>
      <c r="O22" s="4"/>
      <c r="P22" s="4"/>
      <c r="Q22" s="4"/>
      <c r="R22" s="4"/>
      <c r="S22" s="4">
        <f>HLOOKUP($AJ22,$AZ$4:$BC$36,$AI22,FALSE)-$AZ22</f>
        <v>0</v>
      </c>
      <c r="T22" s="4"/>
      <c r="U22" s="4"/>
      <c r="W22" s="4"/>
      <c r="X22" s="4">
        <f>HLOOKUP($AJ22,$BE$4:$BH$36,$AI22,FALSE)-$BE22</f>
        <v>0</v>
      </c>
      <c r="Y22" s="4"/>
      <c r="Z22" s="4"/>
      <c r="AA22" s="4"/>
      <c r="AB22" s="4"/>
      <c r="AC22" s="4">
        <f>HLOOKUP($AJ22,$BJ$4:$BM$36,$AI22,FALSE)-$BJ22</f>
        <v>0</v>
      </c>
      <c r="AD22" s="4"/>
      <c r="AE22" s="4"/>
      <c r="AH22" s="2" t="s">
        <v>76</v>
      </c>
      <c r="AI22" s="2">
        <v>19</v>
      </c>
      <c r="AJ22" s="278">
        <f>AJ41</f>
        <v>3.5</v>
      </c>
      <c r="AK22" s="364">
        <v>50.700635000132024</v>
      </c>
      <c r="AL22" s="364">
        <v>52.055634999880567</v>
      </c>
      <c r="AM22" s="364">
        <v>54.765635000308976</v>
      </c>
      <c r="AN22" s="364">
        <v>62.895635000197217</v>
      </c>
      <c r="AO22"/>
      <c r="AP22" s="364">
        <v>29.717424999980722</v>
      </c>
      <c r="AQ22" s="364">
        <v>30.922425000055227</v>
      </c>
      <c r="AR22" s="364">
        <v>33.327425000083167</v>
      </c>
      <c r="AS22" s="364">
        <v>40.542424999934155</v>
      </c>
      <c r="AT22"/>
      <c r="AU22" s="364">
        <v>97.284884999855421</v>
      </c>
      <c r="AV22" s="364">
        <v>99.984885000041686</v>
      </c>
      <c r="AW22" s="364">
        <v>105.38988500018604</v>
      </c>
      <c r="AX22" s="364">
        <v>121.59988499933388</v>
      </c>
      <c r="AY22"/>
      <c r="AZ22" s="364">
        <v>1215.6242999974638</v>
      </c>
      <c r="BA22" s="364">
        <v>1287.3243000004441</v>
      </c>
      <c r="BB22" s="364">
        <v>1430.7343000024557</v>
      </c>
      <c r="BC22" s="364">
        <v>1860.9492999967188</v>
      </c>
      <c r="BD22"/>
      <c r="BE22" s="364">
        <v>18.903009999979986</v>
      </c>
      <c r="BF22" s="364">
        <v>19.208010000002105</v>
      </c>
      <c r="BG22" s="364">
        <v>19.828009999997448</v>
      </c>
      <c r="BH22" s="364">
        <v>21.683009999949718</v>
      </c>
      <c r="BI22"/>
      <c r="BJ22" s="364">
        <f>IF(Stappen!$BJ$24=OR(1,2),CA22,CF22)</f>
        <v>18.024124999996275</v>
      </c>
      <c r="BK22" s="364">
        <f>IF(Stappen!$BJ$24=OR(1,2),CB22,CG22)</f>
        <v>18.799125000019558</v>
      </c>
      <c r="BL22" s="364">
        <f>IF(Stappen!$BJ$24=OR(1,2),CC22,CH22)</f>
        <v>18.799125000019558</v>
      </c>
      <c r="BM22" s="364">
        <f>IF(Stappen!$BJ$24=OR(1,2),CD22,CI22)</f>
        <v>18.799125000048662</v>
      </c>
      <c r="BN22"/>
      <c r="BO22" s="4" t="s">
        <v>476</v>
      </c>
      <c r="CA22" s="364">
        <v>18.024124999996275</v>
      </c>
      <c r="CB22" s="364">
        <v>18.799124999903142</v>
      </c>
      <c r="CC22" s="364">
        <v>18.799125000077765</v>
      </c>
      <c r="CD22" s="364">
        <v>18.799124999844935</v>
      </c>
      <c r="CE22"/>
      <c r="CF22" s="364">
        <v>18.024124999996275</v>
      </c>
      <c r="CG22" s="364">
        <v>18.799125000019558</v>
      </c>
      <c r="CH22" s="364">
        <v>18.799125000019558</v>
      </c>
      <c r="CI22" s="364">
        <v>18.799125000048662</v>
      </c>
      <c r="CJ22"/>
    </row>
    <row r="23" spans="2:88" ht="15" x14ac:dyDescent="0.25">
      <c r="B23" s="99" t="s">
        <v>87</v>
      </c>
      <c r="C23" s="4"/>
      <c r="D23" s="4"/>
      <c r="E23" s="4">
        <f>HLOOKUP($AJ23,$AK$4:$AN$36,$AI23,FALSE)-$AK23</f>
        <v>0</v>
      </c>
      <c r="F23" s="4"/>
      <c r="G23" s="4"/>
      <c r="H23" s="4"/>
      <c r="I23" s="4"/>
      <c r="J23" s="4">
        <f>HLOOKUP($AJ23,$AP$4:$AS$36,$AI23,FALSE)-$AP23</f>
        <v>0</v>
      </c>
      <c r="K23" s="4"/>
      <c r="M23" s="4"/>
      <c r="N23" s="4"/>
      <c r="O23" s="4">
        <f>HLOOKUP($AJ23,$AU$4:$AX$36,$AI23,FALSE)-$AU23</f>
        <v>0</v>
      </c>
      <c r="P23" s="4"/>
      <c r="Q23" s="4"/>
      <c r="R23" s="4"/>
      <c r="S23" s="4"/>
      <c r="T23" s="4">
        <f>HLOOKUP($AJ23,$AZ$4:$BC$36,$AI23,FALSE)-$AZ23</f>
        <v>0</v>
      </c>
      <c r="U23" s="4"/>
      <c r="W23" s="4"/>
      <c r="X23" s="4"/>
      <c r="Y23" s="4">
        <f>HLOOKUP($AJ23,$BE$4:$BH$36,$AI23,FALSE)-$BE23</f>
        <v>0</v>
      </c>
      <c r="Z23" s="4"/>
      <c r="AA23" s="4"/>
      <c r="AB23" s="4"/>
      <c r="AC23" s="4"/>
      <c r="AD23" s="4">
        <f>HLOOKUP($AJ23,$BJ$4:$BM$36,$AI23,FALSE)-$BJ23</f>
        <v>0</v>
      </c>
      <c r="AE23" s="4"/>
      <c r="AH23" s="2" t="s">
        <v>87</v>
      </c>
      <c r="AI23" s="2">
        <v>20</v>
      </c>
      <c r="AJ23" s="278">
        <f>AJ41</f>
        <v>3.5</v>
      </c>
      <c r="AK23" s="364">
        <v>50.700635000132024</v>
      </c>
      <c r="AL23" s="364">
        <v>52.055634999880567</v>
      </c>
      <c r="AM23" s="364">
        <v>54.765635000308976</v>
      </c>
      <c r="AN23" s="364">
        <v>62.895635000197217</v>
      </c>
      <c r="AO23"/>
      <c r="AP23" s="364">
        <v>29.717424999980722</v>
      </c>
      <c r="AQ23" s="364">
        <v>30.922425000055227</v>
      </c>
      <c r="AR23" s="364">
        <v>33.327425000083167</v>
      </c>
      <c r="AS23" s="364">
        <v>40.542424999934155</v>
      </c>
      <c r="AT23"/>
      <c r="AU23" s="364">
        <v>97.284884999855421</v>
      </c>
      <c r="AV23" s="364">
        <v>99.984885000041686</v>
      </c>
      <c r="AW23" s="364">
        <v>105.38988500018604</v>
      </c>
      <c r="AX23" s="364">
        <v>121.59988499933388</v>
      </c>
      <c r="AY23"/>
      <c r="AZ23" s="364">
        <v>1215.6242999974638</v>
      </c>
      <c r="BA23" s="364">
        <v>1287.3243000004441</v>
      </c>
      <c r="BB23" s="364">
        <v>1430.7343000024557</v>
      </c>
      <c r="BC23" s="364">
        <v>1860.9492999967188</v>
      </c>
      <c r="BD23"/>
      <c r="BE23" s="364">
        <v>18.903009999979986</v>
      </c>
      <c r="BF23" s="364">
        <v>19.208010000002105</v>
      </c>
      <c r="BG23" s="364">
        <v>19.828009999997448</v>
      </c>
      <c r="BH23" s="364">
        <v>21.683009999949718</v>
      </c>
      <c r="BI23"/>
      <c r="BJ23" s="364">
        <f>IF(Stappen!$BJ$24=OR(1,2),CA23,CF23)</f>
        <v>18.024124999996275</v>
      </c>
      <c r="BK23" s="364">
        <f>IF(Stappen!$BJ$24=OR(1,2),CB23,CG23)</f>
        <v>18.799125000019558</v>
      </c>
      <c r="BL23" s="364">
        <f>IF(Stappen!$BJ$24=OR(1,2),CC23,CH23)</f>
        <v>18.799125000019558</v>
      </c>
      <c r="BM23" s="364">
        <f>IF(Stappen!$BJ$24=OR(1,2),CD23,CI23)</f>
        <v>18.799125000048662</v>
      </c>
      <c r="BN23"/>
      <c r="BO23" s="4" t="s">
        <v>476</v>
      </c>
      <c r="CA23" s="364">
        <v>18.024124999996275</v>
      </c>
      <c r="CB23" s="364">
        <v>18.799124999903142</v>
      </c>
      <c r="CC23" s="364">
        <v>18.799125000077765</v>
      </c>
      <c r="CD23" s="364">
        <v>18.799124999844935</v>
      </c>
      <c r="CE23"/>
      <c r="CF23" s="364">
        <v>18.024124999996275</v>
      </c>
      <c r="CG23" s="364">
        <v>18.799125000019558</v>
      </c>
      <c r="CH23" s="364">
        <v>18.799125000019558</v>
      </c>
      <c r="CI23" s="364">
        <v>18.799125000048662</v>
      </c>
      <c r="CJ23"/>
    </row>
    <row r="24" spans="2:88" ht="15" x14ac:dyDescent="0.25">
      <c r="B24" s="99" t="s">
        <v>419</v>
      </c>
      <c r="C24" s="4"/>
      <c r="D24" s="4"/>
      <c r="E24" s="4"/>
      <c r="F24" s="4">
        <f>HLOOKUP($AJ24,$AK$4:$AN$36,$AI24,FALSE)-$AK24</f>
        <v>0</v>
      </c>
      <c r="G24" s="4"/>
      <c r="H24" s="4"/>
      <c r="I24" s="4"/>
      <c r="J24" s="4"/>
      <c r="K24" s="4">
        <f>HLOOKUP($AJ24,$AP$4:$AS$36,$AI24,FALSE)-$AP24</f>
        <v>0</v>
      </c>
      <c r="M24" s="4"/>
      <c r="N24" s="4"/>
      <c r="O24" s="4"/>
      <c r="P24" s="4">
        <f>HLOOKUP($AJ24,$AU$4:$AX$36,$AI24,FALSE)-$AU24</f>
        <v>0</v>
      </c>
      <c r="Q24" s="4"/>
      <c r="R24" s="4"/>
      <c r="S24" s="4"/>
      <c r="T24" s="4"/>
      <c r="U24" s="4">
        <f>HLOOKUP($AJ24,$AZ$4:$BC$36,$AI24,FALSE)-$AZ24</f>
        <v>0</v>
      </c>
      <c r="W24" s="4"/>
      <c r="X24" s="4"/>
      <c r="Y24" s="4"/>
      <c r="Z24" s="4">
        <f>HLOOKUP($AJ24,$BE$4:$BH$36,$AI24,FALSE)-$BE24</f>
        <v>0</v>
      </c>
      <c r="AA24" s="4"/>
      <c r="AB24" s="4"/>
      <c r="AC24" s="4"/>
      <c r="AD24" s="4"/>
      <c r="AE24" s="4">
        <f>HLOOKUP($AJ24,$BJ$4:$BM$36,$AI24,FALSE)-$BJ24</f>
        <v>0</v>
      </c>
      <c r="AH24" s="2" t="s">
        <v>419</v>
      </c>
      <c r="AI24" s="2">
        <v>21</v>
      </c>
      <c r="AJ24" s="278">
        <f>AJ41</f>
        <v>3.5</v>
      </c>
      <c r="AK24" s="364">
        <v>50.700635000132024</v>
      </c>
      <c r="AL24" s="364">
        <v>52.055634999880567</v>
      </c>
      <c r="AM24" s="364">
        <v>54.765635000308976</v>
      </c>
      <c r="AN24" s="364">
        <v>62.895635000197217</v>
      </c>
      <c r="AO24"/>
      <c r="AP24" s="364">
        <v>29.717424999980722</v>
      </c>
      <c r="AQ24" s="364">
        <v>30.922425000055227</v>
      </c>
      <c r="AR24" s="364">
        <v>33.327425000083167</v>
      </c>
      <c r="AS24" s="364">
        <v>40.542424999934155</v>
      </c>
      <c r="AT24"/>
      <c r="AU24" s="364">
        <v>97.284884999855421</v>
      </c>
      <c r="AV24" s="364">
        <v>99.984885000041686</v>
      </c>
      <c r="AW24" s="364">
        <v>105.38988500018604</v>
      </c>
      <c r="AX24" s="364">
        <v>121.59988499933388</v>
      </c>
      <c r="AY24"/>
      <c r="AZ24" s="364">
        <v>1215.6242999974638</v>
      </c>
      <c r="BA24" s="364">
        <v>1287.3243000004441</v>
      </c>
      <c r="BB24" s="364">
        <v>1430.7343000024557</v>
      </c>
      <c r="BC24" s="364">
        <v>1860.9492999967188</v>
      </c>
      <c r="BD24"/>
      <c r="BE24" s="364">
        <v>18.903009999979986</v>
      </c>
      <c r="BF24" s="364">
        <v>19.208010000002105</v>
      </c>
      <c r="BG24" s="364">
        <v>19.828009999997448</v>
      </c>
      <c r="BH24" s="364">
        <v>21.683009999949718</v>
      </c>
      <c r="BI24"/>
      <c r="BJ24" s="364">
        <f>IF(Stappen!$BJ$24=OR(1,2),CA24,CF24)</f>
        <v>18.024124999996275</v>
      </c>
      <c r="BK24" s="364">
        <f>IF(Stappen!$BJ$24=OR(1,2),CB24,CG24)</f>
        <v>18.799125000019558</v>
      </c>
      <c r="BL24" s="364">
        <f>IF(Stappen!$BJ$24=OR(1,2),CC24,CH24)</f>
        <v>18.799125000019558</v>
      </c>
      <c r="BM24" s="364">
        <f>IF(Stappen!$BJ$24=OR(1,2),CD24,CI24)</f>
        <v>18.799125000048662</v>
      </c>
      <c r="BN24"/>
      <c r="BO24" s="4" t="s">
        <v>476</v>
      </c>
      <c r="CA24" s="364">
        <v>18.024124999996275</v>
      </c>
      <c r="CB24" s="364">
        <v>18.799124999903142</v>
      </c>
      <c r="CC24" s="364">
        <v>18.799125000077765</v>
      </c>
      <c r="CD24" s="364">
        <v>18.799124999844935</v>
      </c>
      <c r="CE24"/>
      <c r="CF24" s="364">
        <v>18.024124999996275</v>
      </c>
      <c r="CG24" s="364">
        <v>18.799125000019558</v>
      </c>
      <c r="CH24" s="364">
        <v>18.799125000019558</v>
      </c>
      <c r="CI24" s="364">
        <v>18.799125000048662</v>
      </c>
      <c r="CJ24"/>
    </row>
    <row r="25" spans="2:88" ht="15" x14ac:dyDescent="0.25">
      <c r="B25" s="99" t="s">
        <v>350</v>
      </c>
      <c r="C25" s="4"/>
      <c r="D25" s="4"/>
      <c r="E25" s="4">
        <f>HLOOKUP($AJ25,$AK$4:$AN$36,$AI25,FALSE)-$AK25</f>
        <v>0</v>
      </c>
      <c r="F25" s="4"/>
      <c r="G25" s="4"/>
      <c r="H25" s="4"/>
      <c r="I25" s="4"/>
      <c r="J25" s="4">
        <f>HLOOKUP($AJ25,$AP$4:$AS$36,$AI25,FALSE)-$AP25</f>
        <v>0</v>
      </c>
      <c r="K25" s="4"/>
      <c r="M25" s="4"/>
      <c r="N25" s="4"/>
      <c r="O25" s="4">
        <f>HLOOKUP($AJ25,$AU$4:$AX$36,$AI25,FALSE)-$AU25</f>
        <v>0</v>
      </c>
      <c r="P25" s="4"/>
      <c r="Q25" s="4"/>
      <c r="R25" s="4"/>
      <c r="S25" s="4"/>
      <c r="T25" s="4">
        <f>HLOOKUP($AJ25,$AZ$4:$BC$36,$AI25,FALSE)-$AZ25</f>
        <v>0</v>
      </c>
      <c r="U25" s="4"/>
      <c r="W25" s="4"/>
      <c r="X25" s="4"/>
      <c r="Y25" s="4">
        <f>HLOOKUP($AJ25,$BE$4:$BH$36,$AI25,FALSE)-$BE25</f>
        <v>0</v>
      </c>
      <c r="Z25" s="4"/>
      <c r="AA25" s="4"/>
      <c r="AB25" s="4"/>
      <c r="AC25" s="4"/>
      <c r="AD25" s="4">
        <f>HLOOKUP($AJ25,$BJ$4:$BM$36,$AI25,FALSE)-$BJ25</f>
        <v>0</v>
      </c>
      <c r="AE25" s="4"/>
      <c r="AH25" s="2" t="s">
        <v>350</v>
      </c>
      <c r="AI25" s="2">
        <v>22</v>
      </c>
      <c r="AJ25" s="267">
        <f>AJ39</f>
        <v>3.5</v>
      </c>
      <c r="AK25" s="4">
        <v>92.374399999855086</v>
      </c>
      <c r="AL25" s="4">
        <v>100.83234999980778</v>
      </c>
      <c r="AM25" s="4">
        <v>105.3894500003662</v>
      </c>
      <c r="AN25" s="4">
        <v>139.12749999971129</v>
      </c>
      <c r="AO25"/>
      <c r="AP25" s="4">
        <v>12.171449999965262</v>
      </c>
      <c r="AQ25" s="4">
        <v>12.913800000038464</v>
      </c>
      <c r="AR25" s="4">
        <v>13.744349999993574</v>
      </c>
      <c r="AS25" s="4">
        <v>19.287999999942258</v>
      </c>
      <c r="AT25"/>
      <c r="AU25" s="4">
        <v>39.046499999822117</v>
      </c>
      <c r="AV25" s="4">
        <v>41.827250000205822</v>
      </c>
      <c r="AW25" s="4">
        <v>45.176999999792315</v>
      </c>
      <c r="AX25" s="4">
        <v>77.589000000152737</v>
      </c>
      <c r="AY25"/>
      <c r="AZ25" s="4">
        <v>782.96989999711514</v>
      </c>
      <c r="BA25" s="4">
        <v>850.79059999994934</v>
      </c>
      <c r="BB25" s="4">
        <v>949.55720000341535</v>
      </c>
      <c r="BC25" s="4">
        <v>1809.0884999968112</v>
      </c>
      <c r="BD25"/>
      <c r="BE25" s="4">
        <v>4.0183999999862863</v>
      </c>
      <c r="BF25" s="4">
        <v>4.3121000000101048</v>
      </c>
      <c r="BG25" s="4">
        <v>4.6776999999856343</v>
      </c>
      <c r="BH25" s="4">
        <v>27.227499999993597</v>
      </c>
      <c r="BI25"/>
      <c r="BJ25" s="4">
        <f>IF(Stappen!$BJ$24=OR(1,2),CA25,CF25)</f>
        <v>2.8439499999803957</v>
      </c>
      <c r="BK25" s="4">
        <f>IF(Stappen!$BJ$24=OR(1,2),CB25,CG25)</f>
        <v>3.1350500000407919</v>
      </c>
      <c r="BL25" s="4">
        <f>IF(Stappen!$BJ$24=OR(1,2),CC25,CH25)</f>
        <v>3.4618499999924097</v>
      </c>
      <c r="BM25" s="4">
        <f>IF(Stappen!$BJ$24=OR(1,2),CD25,CI25)</f>
        <v>7.4180000000051223</v>
      </c>
      <c r="BN25"/>
      <c r="BO25" s="4" t="s">
        <v>477</v>
      </c>
      <c r="CA25" s="4">
        <v>2.8439500000677072</v>
      </c>
      <c r="CB25" s="4">
        <v>3.1350499999825843</v>
      </c>
      <c r="CC25" s="4">
        <v>3.4618499999633059</v>
      </c>
      <c r="CD25" s="4">
        <v>7.4180000000633299</v>
      </c>
      <c r="CE25"/>
      <c r="CF25" s="4">
        <v>2.8439499999803957</v>
      </c>
      <c r="CG25" s="4">
        <v>3.1350500000407919</v>
      </c>
      <c r="CH25" s="4">
        <v>3.4618499999924097</v>
      </c>
      <c r="CI25" s="4">
        <v>7.4180000000051223</v>
      </c>
      <c r="CJ25"/>
    </row>
    <row r="26" spans="2:88" ht="15" x14ac:dyDescent="0.25">
      <c r="B26" s="99" t="s">
        <v>351</v>
      </c>
      <c r="C26" s="4"/>
      <c r="D26" s="4"/>
      <c r="E26" s="4"/>
      <c r="F26" s="4">
        <f>HLOOKUP($AJ26,$AK$4:$AN$36,$AI26,FALSE)-$AK26</f>
        <v>0</v>
      </c>
      <c r="G26" s="4"/>
      <c r="H26" s="4"/>
      <c r="I26" s="4"/>
      <c r="J26" s="4"/>
      <c r="K26" s="4">
        <f>HLOOKUP($AJ26,$AP$4:$AS$36,$AI26,FALSE)-$AP26</f>
        <v>0</v>
      </c>
      <c r="M26" s="4"/>
      <c r="N26" s="4"/>
      <c r="O26" s="4"/>
      <c r="P26" s="4">
        <f>HLOOKUP($AJ26,$AU$4:$AX$36,$AI26,FALSE)-$AU26</f>
        <v>0</v>
      </c>
      <c r="Q26" s="4"/>
      <c r="R26" s="4"/>
      <c r="S26" s="4"/>
      <c r="T26" s="4"/>
      <c r="U26" s="4">
        <f>HLOOKUP($AJ26,$AZ$4:$BC$36,$AI26,FALSE)-$AZ26</f>
        <v>0</v>
      </c>
      <c r="W26" s="4"/>
      <c r="X26" s="4"/>
      <c r="Y26" s="4"/>
      <c r="Z26" s="4">
        <f>HLOOKUP($AJ26,$BE$4:$BH$36,$AI26,FALSE)-$BE26</f>
        <v>0</v>
      </c>
      <c r="AA26" s="4"/>
      <c r="AB26" s="4"/>
      <c r="AC26" s="4"/>
      <c r="AD26" s="4"/>
      <c r="AE26" s="4">
        <f>HLOOKUP($AJ26,$BJ$4:$BM$36,$AI26,FALSE)-$BJ26</f>
        <v>0</v>
      </c>
      <c r="AH26" s="2" t="s">
        <v>351</v>
      </c>
      <c r="AI26" s="2">
        <v>23</v>
      </c>
      <c r="AJ26" s="267">
        <f>AJ39</f>
        <v>3.5</v>
      </c>
      <c r="AK26" s="4">
        <v>67.874629999976605</v>
      </c>
      <c r="AL26" s="4">
        <v>73.638554999371991</v>
      </c>
      <c r="AM26" s="4">
        <v>91.247429999522865</v>
      </c>
      <c r="AN26" s="4">
        <v>139.12749999971129</v>
      </c>
      <c r="AO26"/>
      <c r="AP26" s="4">
        <v>16.474075000034645</v>
      </c>
      <c r="AQ26" s="4">
        <v>18.110849999997299</v>
      </c>
      <c r="AR26" s="4">
        <v>21.893737499951385</v>
      </c>
      <c r="AS26" s="4">
        <v>19.287999999942258</v>
      </c>
      <c r="AT26"/>
      <c r="AU26" s="4">
        <v>54.527400000137277</v>
      </c>
      <c r="AV26" s="4">
        <v>58.59202500001993</v>
      </c>
      <c r="AW26" s="4">
        <v>68.798250000108965</v>
      </c>
      <c r="AX26" s="4">
        <v>77.589000000152737</v>
      </c>
      <c r="AY26"/>
      <c r="AZ26" s="4">
        <v>846.27911999821663</v>
      </c>
      <c r="BA26" s="4">
        <v>938.38316999748349</v>
      </c>
      <c r="BB26" s="4">
        <v>1137.7316324990243</v>
      </c>
      <c r="BC26" s="4">
        <v>1809.0884999968112</v>
      </c>
      <c r="BD26"/>
      <c r="BE26" s="4">
        <v>19.270075000007637</v>
      </c>
      <c r="BF26" s="4">
        <v>19.713375000021188</v>
      </c>
      <c r="BG26" s="4">
        <v>21.680624999979045</v>
      </c>
      <c r="BH26" s="4">
        <v>27.227499999993597</v>
      </c>
      <c r="BI26"/>
      <c r="BJ26" s="4">
        <f>IF(Stappen!$BJ$24=OR(1,2),CA26,CF26)</f>
        <v>7.6122249999316409</v>
      </c>
      <c r="BK26" s="4">
        <f>IF(Stappen!$BJ$24=OR(1,2),CB26,CG26)</f>
        <v>8.5304999999934807</v>
      </c>
      <c r="BL26" s="4">
        <f>IF(Stappen!$BJ$24=OR(1,2),CC26,CH26)</f>
        <v>10.466324999957578</v>
      </c>
      <c r="BM26" s="4">
        <f>IF(Stappen!$BJ$24=OR(1,2),CD26,CI26)</f>
        <v>7.4180000000051223</v>
      </c>
      <c r="BN26"/>
      <c r="BO26" s="4" t="s">
        <v>477</v>
      </c>
      <c r="CA26" s="4">
        <v>7.6122250000480562</v>
      </c>
      <c r="CB26" s="4">
        <v>8.5305000000516884</v>
      </c>
      <c r="CC26" s="4">
        <v>10.46632500004489</v>
      </c>
      <c r="CD26" s="4">
        <v>7.4180000000633299</v>
      </c>
      <c r="CE26"/>
      <c r="CF26" s="4">
        <v>7.6122249999316409</v>
      </c>
      <c r="CG26" s="4">
        <v>8.5304999999934807</v>
      </c>
      <c r="CH26" s="4">
        <v>10.466324999957578</v>
      </c>
      <c r="CI26" s="4">
        <v>7.4180000000051223</v>
      </c>
      <c r="CJ26"/>
    </row>
    <row r="27" spans="2:88" ht="15" x14ac:dyDescent="0.25">
      <c r="B27" s="99" t="s">
        <v>70</v>
      </c>
      <c r="C27" s="374">
        <f>IF($AJ27=0.95,$AK27,0)</f>
        <v>0</v>
      </c>
      <c r="D27" s="4"/>
      <c r="E27" s="4"/>
      <c r="F27" s="4"/>
      <c r="G27" s="4"/>
      <c r="H27" s="374">
        <f>IF($AJ27=0.95,$AP27,0)</f>
        <v>0</v>
      </c>
      <c r="I27" s="4"/>
      <c r="J27" s="4"/>
      <c r="K27" s="4"/>
      <c r="M27" s="374">
        <f>IF($AJ27=0.95,$AU27,0)</f>
        <v>0</v>
      </c>
      <c r="N27" s="4"/>
      <c r="O27" s="4"/>
      <c r="P27" s="4"/>
      <c r="Q27" s="4"/>
      <c r="R27" s="374">
        <f>IF($AJ27=0.95,$AZ27,0)</f>
        <v>0</v>
      </c>
      <c r="S27" s="4"/>
      <c r="T27" s="4"/>
      <c r="U27" s="4"/>
      <c r="W27" s="374">
        <f>IF($AJ27=0.95,$BE27,0)</f>
        <v>0</v>
      </c>
      <c r="X27" s="4"/>
      <c r="Y27" s="4"/>
      <c r="Z27" s="4"/>
      <c r="AA27" s="4"/>
      <c r="AB27" s="374">
        <f>IF($AJ27=0.95,$BJ27,0)</f>
        <v>0</v>
      </c>
      <c r="AC27" s="4"/>
      <c r="AD27" s="4"/>
      <c r="AE27" s="4"/>
      <c r="AH27" s="2" t="s">
        <v>70</v>
      </c>
      <c r="AI27" s="2">
        <v>24</v>
      </c>
      <c r="AJ27" s="279">
        <f>AJ43</f>
        <v>1.65</v>
      </c>
      <c r="AK27" s="4">
        <v>108.33150000008754</v>
      </c>
      <c r="AL27"/>
      <c r="AM27"/>
      <c r="AN27"/>
      <c r="AO27"/>
      <c r="AP27" s="4">
        <v>29.541249999951106</v>
      </c>
      <c r="AQ27"/>
      <c r="AR27"/>
      <c r="AS27"/>
      <c r="AT27"/>
      <c r="AU27" s="4">
        <v>70.61699999962002</v>
      </c>
      <c r="AV27"/>
      <c r="AW27"/>
      <c r="AX27"/>
      <c r="AY27"/>
      <c r="AZ27" s="4">
        <v>541.32524999976158</v>
      </c>
      <c r="BA27"/>
      <c r="BB27"/>
      <c r="BC27"/>
      <c r="BD27"/>
      <c r="BE27" s="4">
        <v>42.616500000047381</v>
      </c>
      <c r="BF27"/>
      <c r="BG27"/>
      <c r="BH27"/>
      <c r="BI27"/>
      <c r="BJ27" s="4">
        <f>IF(Stappen!$BJ$24=OR(1,2),CA27,CF27)</f>
        <v>5.9803124999743886</v>
      </c>
      <c r="BK27"/>
      <c r="BL27"/>
      <c r="BM27"/>
      <c r="BN27"/>
      <c r="BO27" s="4" t="s">
        <v>478</v>
      </c>
      <c r="CA27" s="4">
        <v>8.9943900001235306</v>
      </c>
      <c r="CB27"/>
      <c r="CC27"/>
      <c r="CD27"/>
      <c r="CE27"/>
      <c r="CF27" s="4">
        <v>5.9803124999743886</v>
      </c>
      <c r="CG27"/>
      <c r="CH27"/>
      <c r="CI27"/>
      <c r="CJ27"/>
    </row>
    <row r="28" spans="2:88" ht="15" x14ac:dyDescent="0.25">
      <c r="B28" s="99" t="s">
        <v>79</v>
      </c>
      <c r="C28" s="4"/>
      <c r="D28" s="374">
        <f>IF($AJ28=0.95,$AK28,0)</f>
        <v>0</v>
      </c>
      <c r="E28" s="4"/>
      <c r="F28" s="4"/>
      <c r="G28" s="4"/>
      <c r="H28" s="4"/>
      <c r="I28" s="374">
        <f>IF($AJ28=0.95,$AP28,0)</f>
        <v>0</v>
      </c>
      <c r="J28" s="4"/>
      <c r="K28" s="4"/>
      <c r="M28" s="4"/>
      <c r="N28" s="374">
        <f>IF($AJ28=0.95,$AU28,0)</f>
        <v>0</v>
      </c>
      <c r="O28" s="4"/>
      <c r="P28" s="4"/>
      <c r="Q28" s="4"/>
      <c r="R28" s="4"/>
      <c r="S28" s="374">
        <f>IF($AJ28=0.95,$AZ28,0)</f>
        <v>0</v>
      </c>
      <c r="T28" s="4"/>
      <c r="U28" s="4"/>
      <c r="W28" s="4"/>
      <c r="X28" s="374">
        <f>IF($AJ28=0.95,$BE28,0)</f>
        <v>0</v>
      </c>
      <c r="Y28" s="4"/>
      <c r="Z28" s="4"/>
      <c r="AA28" s="4"/>
      <c r="AB28" s="4"/>
      <c r="AC28" s="374">
        <f>IF($AJ28=0.95,$BJ28,0)</f>
        <v>0</v>
      </c>
      <c r="AD28" s="4"/>
      <c r="AE28" s="4"/>
      <c r="AH28" s="2" t="s">
        <v>79</v>
      </c>
      <c r="AI28" s="2">
        <v>25</v>
      </c>
      <c r="AJ28" s="279">
        <f>AJ43</f>
        <v>1.65</v>
      </c>
      <c r="AK28" s="364">
        <v>108.33150000008754</v>
      </c>
      <c r="AL28"/>
      <c r="AM28"/>
      <c r="AN28"/>
      <c r="AO28"/>
      <c r="AP28" s="364">
        <v>29.541249999951106</v>
      </c>
      <c r="AQ28"/>
      <c r="AR28"/>
      <c r="AS28"/>
      <c r="AT28"/>
      <c r="AU28" s="364">
        <v>70.61699999962002</v>
      </c>
      <c r="AV28"/>
      <c r="AW28"/>
      <c r="AX28"/>
      <c r="AY28"/>
      <c r="AZ28" s="364">
        <v>541.32524999976158</v>
      </c>
      <c r="BA28"/>
      <c r="BB28"/>
      <c r="BC28"/>
      <c r="BD28"/>
      <c r="BE28" s="364">
        <v>42.616500000047381</v>
      </c>
      <c r="BF28"/>
      <c r="BG28"/>
      <c r="BH28"/>
      <c r="BI28"/>
      <c r="BJ28" s="364">
        <f>IF(Stappen!$BJ$24=OR(1,2),CA28,CF28)</f>
        <v>5.9803124999743886</v>
      </c>
      <c r="BK28"/>
      <c r="BL28"/>
      <c r="BM28"/>
      <c r="BN28"/>
      <c r="BO28" s="4" t="s">
        <v>478</v>
      </c>
      <c r="CA28" s="364">
        <v>8.9943900001235306</v>
      </c>
      <c r="CB28"/>
      <c r="CC28"/>
      <c r="CD28"/>
      <c r="CE28"/>
      <c r="CF28" s="364">
        <v>5.9803124999743886</v>
      </c>
      <c r="CG28"/>
      <c r="CH28"/>
      <c r="CI28"/>
      <c r="CJ28"/>
    </row>
    <row r="29" spans="2:88" ht="15" x14ac:dyDescent="0.25">
      <c r="B29" s="99" t="s">
        <v>71</v>
      </c>
      <c r="C29" s="4">
        <f>HLOOKUP($AJ29,$AK$4:$AN$36,$AI29,FALSE)-$AK29</f>
        <v>0</v>
      </c>
      <c r="D29" s="4"/>
      <c r="E29" s="4"/>
      <c r="F29" s="4"/>
      <c r="G29" s="4"/>
      <c r="H29" s="4">
        <f>HLOOKUP($AJ29,$AP$4:$AS$36,$AI29,FALSE)-$AP29</f>
        <v>0</v>
      </c>
      <c r="I29" s="4"/>
      <c r="J29" s="4"/>
      <c r="K29" s="4"/>
      <c r="M29" s="4">
        <f>HLOOKUP($AJ29,$AU$4:$AX$36,$AI29,FALSE)-$AU29</f>
        <v>0</v>
      </c>
      <c r="N29" s="4"/>
      <c r="O29" s="4"/>
      <c r="P29" s="4"/>
      <c r="Q29" s="4"/>
      <c r="R29" s="4">
        <f>HLOOKUP($AJ29,$AZ$4:$BC$36,$AI29,FALSE)-$AZ29</f>
        <v>0</v>
      </c>
      <c r="S29" s="4"/>
      <c r="T29" s="4"/>
      <c r="U29" s="4"/>
      <c r="W29" s="4">
        <f>HLOOKUP($AJ29,$BE$4:$BH$36,$AI29,FALSE)-$BE29</f>
        <v>0</v>
      </c>
      <c r="X29" s="4"/>
      <c r="Y29" s="4"/>
      <c r="Z29" s="4"/>
      <c r="AA29" s="4"/>
      <c r="AB29" s="4">
        <f>HLOOKUP($AJ29,$BJ$4:$BM$36,$AI29,FALSE)-$BJ29</f>
        <v>0</v>
      </c>
      <c r="AC29" s="4"/>
      <c r="AD29" s="4"/>
      <c r="AE29" s="4"/>
      <c r="AH29" s="2" t="s">
        <v>71</v>
      </c>
      <c r="AI29" s="2">
        <v>26</v>
      </c>
      <c r="AJ29" s="278">
        <f>AJ39</f>
        <v>3.5</v>
      </c>
      <c r="AK29" s="4">
        <v>20.089999999850988</v>
      </c>
      <c r="AL29" s="4">
        <v>21.949999999953434</v>
      </c>
      <c r="AM29" s="4">
        <v>24.34000000031665</v>
      </c>
      <c r="AN29" s="4">
        <v>32.185000000055879</v>
      </c>
      <c r="AO29"/>
      <c r="AP29" s="4">
        <v>8.1450000000186265</v>
      </c>
      <c r="AQ29" s="4">
        <v>9.3649999999906868</v>
      </c>
      <c r="AR29" s="4">
        <v>11.165000000037253</v>
      </c>
      <c r="AS29" s="4">
        <v>18.380000000004657</v>
      </c>
      <c r="AT29"/>
      <c r="AU29" s="4">
        <v>18.250000000116415</v>
      </c>
      <c r="AV29" s="4">
        <v>20.989999999874271</v>
      </c>
      <c r="AW29" s="4">
        <v>25.040000000153668</v>
      </c>
      <c r="AX29" s="4">
        <v>41.250000000116415</v>
      </c>
      <c r="AY29"/>
      <c r="AZ29" s="4">
        <v>477.52500000037253</v>
      </c>
      <c r="BA29" s="4">
        <v>549.85999999940395</v>
      </c>
      <c r="BB29" s="4">
        <v>657.41999999806285</v>
      </c>
      <c r="BC29" s="4">
        <v>1087.640000000596</v>
      </c>
      <c r="BD29"/>
      <c r="BE29" s="4">
        <v>2.055000000007567</v>
      </c>
      <c r="BF29" s="4">
        <v>2.3650000000197906</v>
      </c>
      <c r="BG29" s="4">
        <v>2.8300000000017462</v>
      </c>
      <c r="BH29" s="4">
        <v>4.680000000007567</v>
      </c>
      <c r="BI29"/>
      <c r="BJ29" s="4">
        <f>IF(Stappen!$BJ$24=OR(1,2),CA29,CF29)</f>
        <v>5.0799999999871943</v>
      </c>
      <c r="BK29" s="4">
        <f>IF(Stappen!$BJ$24=OR(1,2),CB29,CG29)</f>
        <v>5.8600000000442378</v>
      </c>
      <c r="BL29" s="4">
        <f>IF(Stappen!$BJ$24=OR(1,2),CC29,CH29)</f>
        <v>5.860000000015134</v>
      </c>
      <c r="BM29" s="4">
        <f>IF(Stappen!$BJ$24=OR(1,2),CD29,CI29)</f>
        <v>5.8599999999860302</v>
      </c>
      <c r="BN29"/>
      <c r="BO29" s="4" t="s">
        <v>479</v>
      </c>
      <c r="CA29" s="4">
        <v>5.0800000000162981</v>
      </c>
      <c r="CB29" s="4">
        <v>5.8599999999860302</v>
      </c>
      <c r="CC29" s="4">
        <v>5.8599999999860302</v>
      </c>
      <c r="CD29" s="4">
        <v>5.8599999999278225</v>
      </c>
      <c r="CE29"/>
      <c r="CF29" s="4">
        <v>5.0799999999871943</v>
      </c>
      <c r="CG29" s="4">
        <v>5.8600000000442378</v>
      </c>
      <c r="CH29" s="4">
        <v>5.860000000015134</v>
      </c>
      <c r="CI29" s="4">
        <v>5.8599999999860302</v>
      </c>
      <c r="CJ29"/>
    </row>
    <row r="30" spans="2:88" ht="15" x14ac:dyDescent="0.25">
      <c r="B30" s="99" t="s">
        <v>80</v>
      </c>
      <c r="C30" s="4"/>
      <c r="D30" s="4">
        <f>HLOOKUP($AJ30,$AK$4:$AN$36,$AI30,FALSE)-$AK30</f>
        <v>0</v>
      </c>
      <c r="E30" s="4"/>
      <c r="F30" s="4"/>
      <c r="G30" s="4"/>
      <c r="H30" s="4"/>
      <c r="I30" s="4">
        <f>HLOOKUP($AJ30,$AP$4:$AS$36,$AI30,FALSE)-$AP30</f>
        <v>0</v>
      </c>
      <c r="J30" s="4"/>
      <c r="K30" s="4"/>
      <c r="M30" s="4"/>
      <c r="N30" s="4">
        <f>HLOOKUP($AJ30,$AU$4:$AX$36,$AI30,FALSE)-$AU30</f>
        <v>0</v>
      </c>
      <c r="O30" s="4"/>
      <c r="P30" s="4"/>
      <c r="Q30" s="4"/>
      <c r="R30" s="4"/>
      <c r="S30" s="4">
        <f>HLOOKUP($AJ30,$AZ$4:$BC$36,$AI30,FALSE)-$AZ30</f>
        <v>0</v>
      </c>
      <c r="T30" s="4"/>
      <c r="U30" s="4"/>
      <c r="W30" s="4"/>
      <c r="X30" s="4">
        <f>HLOOKUP($AJ30,$BE$4:$BH$36,$AI30,FALSE)-$BE30</f>
        <v>0</v>
      </c>
      <c r="Y30" s="4"/>
      <c r="Z30" s="4"/>
      <c r="AA30" s="4"/>
      <c r="AB30" s="4"/>
      <c r="AC30" s="4">
        <f>HLOOKUP($AJ30,$BJ$4:$BM$36,$AI30,FALSE)-$BJ30</f>
        <v>0</v>
      </c>
      <c r="AD30" s="4"/>
      <c r="AE30" s="4"/>
      <c r="AH30" s="2" t="s">
        <v>80</v>
      </c>
      <c r="AI30" s="2">
        <v>27</v>
      </c>
      <c r="AJ30" s="278">
        <f>AJ39</f>
        <v>3.5</v>
      </c>
      <c r="AK30" s="4">
        <v>30.350000000093132</v>
      </c>
      <c r="AL30" s="4">
        <v>33.214999999850988</v>
      </c>
      <c r="AM30" s="4">
        <v>37.919999999925494</v>
      </c>
      <c r="AN30" s="4">
        <v>52.020000000018626</v>
      </c>
      <c r="AO30"/>
      <c r="AP30" s="4">
        <v>2.7399999999324791</v>
      </c>
      <c r="AQ30" s="4">
        <v>3.0200000000768341</v>
      </c>
      <c r="AR30" s="4">
        <v>3.5149999999557622</v>
      </c>
      <c r="AS30" s="4">
        <v>4.9899999999906868</v>
      </c>
      <c r="AT30"/>
      <c r="AU30" s="4">
        <v>9.3500000002095476</v>
      </c>
      <c r="AV30" s="4">
        <v>10.474999999743886</v>
      </c>
      <c r="AW30" s="4">
        <v>12.565000000293367</v>
      </c>
      <c r="AX30" s="4">
        <v>18.839999999850988</v>
      </c>
      <c r="AY30"/>
      <c r="AZ30" s="4">
        <v>286.68999999761581</v>
      </c>
      <c r="BA30" s="4">
        <v>322.54999999888241</v>
      </c>
      <c r="BB30" s="4">
        <v>391.73000000044703</v>
      </c>
      <c r="BC30" s="4">
        <v>599.26500000059605</v>
      </c>
      <c r="BD30"/>
      <c r="BE30" s="4">
        <v>0.98000000002502929</v>
      </c>
      <c r="BF30" s="4">
        <v>1.0999999999912689</v>
      </c>
      <c r="BG30" s="4">
        <v>1.3299999999871943</v>
      </c>
      <c r="BH30" s="4">
        <v>2.0149999999994179</v>
      </c>
      <c r="BI30"/>
      <c r="BJ30" s="4">
        <f>IF(Stappen!$BJ$24=OR(1,2),CA30,CF30)</f>
        <v>0.79499999998370185</v>
      </c>
      <c r="BK30" s="4">
        <f>IF(Stappen!$BJ$24=OR(1,2),CB30,CG30)</f>
        <v>0.89500000001862645</v>
      </c>
      <c r="BL30" s="4">
        <f>IF(Stappen!$BJ$24=OR(1,2),CC30,CH30)</f>
        <v>0.89499999996041879</v>
      </c>
      <c r="BM30" s="4">
        <f>IF(Stappen!$BJ$24=OR(1,2),CD30,CI30)</f>
        <v>0.89500000001862645</v>
      </c>
      <c r="BN30"/>
      <c r="BO30" s="4" t="s">
        <v>480</v>
      </c>
      <c r="CA30" s="4">
        <v>0.79500000004190952</v>
      </c>
      <c r="CB30" s="4">
        <v>0.89500000001862645</v>
      </c>
      <c r="CC30" s="4">
        <v>0.89499999996041879</v>
      </c>
      <c r="CD30" s="4">
        <v>0.89499999996041879</v>
      </c>
      <c r="CE30"/>
      <c r="CF30" s="4">
        <v>0.79499999998370185</v>
      </c>
      <c r="CG30" s="4">
        <v>0.89500000001862645</v>
      </c>
      <c r="CH30" s="4">
        <v>0.89499999996041879</v>
      </c>
      <c r="CI30" s="4">
        <v>0.89500000001862645</v>
      </c>
      <c r="CJ30"/>
    </row>
    <row r="31" spans="2:88" ht="15" x14ac:dyDescent="0.25">
      <c r="B31" s="99" t="s">
        <v>94</v>
      </c>
      <c r="C31" s="4"/>
      <c r="D31" s="4"/>
      <c r="E31" s="4"/>
      <c r="F31" s="4">
        <f>HLOOKUP($AJ31,$AK$4:$AN$36,$AI31,FALSE)-$AK31</f>
        <v>0</v>
      </c>
      <c r="G31" s="4"/>
      <c r="H31" s="4"/>
      <c r="I31" s="4"/>
      <c r="J31" s="4"/>
      <c r="K31" s="4">
        <f>HLOOKUP($AJ31,$AP$4:$AS$36,$AI31,FALSE)-$AP31</f>
        <v>0</v>
      </c>
      <c r="M31" s="4"/>
      <c r="N31" s="4"/>
      <c r="O31" s="4"/>
      <c r="P31" s="4">
        <f>HLOOKUP($AJ31,$AU$4:$AX$36,$AI31,FALSE)-$AU31</f>
        <v>0</v>
      </c>
      <c r="Q31" s="4"/>
      <c r="R31" s="4"/>
      <c r="S31" s="4"/>
      <c r="T31" s="4"/>
      <c r="U31" s="4">
        <f>HLOOKUP($AJ31,$AZ$4:$BC$36,$AI31,FALSE)-$AZ31</f>
        <v>0</v>
      </c>
      <c r="W31" s="4"/>
      <c r="X31" s="4"/>
      <c r="Y31" s="4"/>
      <c r="Z31" s="4">
        <f>HLOOKUP($AJ31,$BE$4:$BH$36,$AI31,FALSE)-$BE31</f>
        <v>0</v>
      </c>
      <c r="AA31" s="4"/>
      <c r="AB31" s="4"/>
      <c r="AC31" s="4"/>
      <c r="AD31" s="4"/>
      <c r="AE31" s="4">
        <f>HLOOKUP($AJ31,$BJ$4:$BM$36,$AI31,FALSE)-$BJ31</f>
        <v>0</v>
      </c>
      <c r="AH31" s="2" t="s">
        <v>94</v>
      </c>
      <c r="AI31" s="2">
        <v>28</v>
      </c>
      <c r="AJ31" s="278">
        <f>AJ39</f>
        <v>3.5</v>
      </c>
      <c r="AK31" s="4">
        <v>153.10320000001229</v>
      </c>
      <c r="AL31" s="4">
        <v>155.96820000000298</v>
      </c>
      <c r="AM31" s="525">
        <v>-1000</v>
      </c>
      <c r="AN31" s="525">
        <v>-1000</v>
      </c>
      <c r="AO31"/>
      <c r="AP31" s="4">
        <v>12.112499999988358</v>
      </c>
      <c r="AQ31" s="4">
        <v>12.392500000016298</v>
      </c>
      <c r="AR31" s="525">
        <v>-1000</v>
      </c>
      <c r="AS31" s="525">
        <v>-1000</v>
      </c>
      <c r="AT31"/>
      <c r="AU31" s="4">
        <v>36.036699999938719</v>
      </c>
      <c r="AV31" s="4">
        <v>37.161699999938719</v>
      </c>
      <c r="AW31" s="525">
        <v>-1000</v>
      </c>
      <c r="AX31" s="525">
        <v>-1000</v>
      </c>
      <c r="AY31"/>
      <c r="AZ31" s="4">
        <v>650.30599999986589</v>
      </c>
      <c r="BA31" s="4">
        <v>686.16600000113249</v>
      </c>
      <c r="BB31" s="525">
        <v>-1000</v>
      </c>
      <c r="BC31" s="525">
        <v>-1000</v>
      </c>
      <c r="BD31"/>
      <c r="BE31" s="4">
        <v>6.6451999999990221</v>
      </c>
      <c r="BF31" s="4">
        <v>6.7651999999943655</v>
      </c>
      <c r="BG31" s="525">
        <v>-1000</v>
      </c>
      <c r="BH31" s="525">
        <v>-1000</v>
      </c>
      <c r="BI31"/>
      <c r="BJ31" s="4">
        <f>IF(Stappen!$BJ$24=OR(1,2),CA31,CF31)</f>
        <v>2.8099999999976717</v>
      </c>
      <c r="BK31" s="4">
        <f>IF(Stappen!$BJ$24=OR(1,2),CB31,CG31)</f>
        <v>2.9100000000325963</v>
      </c>
      <c r="BL31" s="525" t="str">
        <f>IF(Stappen!$BJ$24=OR(1,2),CC31,CH31)</f>
        <v>x</v>
      </c>
      <c r="BM31" s="525" t="str">
        <f>IF(Stappen!$BJ$24=OR(1,2),CD31,CI31)</f>
        <v>x</v>
      </c>
      <c r="BN31"/>
      <c r="BO31" s="4" t="s">
        <v>488</v>
      </c>
      <c r="CA31" s="4">
        <v>2.810000000114087</v>
      </c>
      <c r="CB31" s="4">
        <v>2.9099999999743886</v>
      </c>
      <c r="CC31" s="4" t="s">
        <v>566</v>
      </c>
      <c r="CD31" s="4" t="s">
        <v>566</v>
      </c>
      <c r="CE31"/>
      <c r="CF31" s="4">
        <v>2.8099999999976717</v>
      </c>
      <c r="CG31" s="4">
        <v>2.9100000000325963</v>
      </c>
      <c r="CH31" s="4" t="s">
        <v>566</v>
      </c>
      <c r="CI31" s="4" t="s">
        <v>566</v>
      </c>
      <c r="CJ31"/>
    </row>
    <row r="32" spans="2:88" ht="15" x14ac:dyDescent="0.25">
      <c r="B32" s="99" t="s">
        <v>72</v>
      </c>
      <c r="C32" s="4">
        <f>HLOOKUP($AJ32,$AK$4:$AN$36,$AI32,FALSE)-$AK32</f>
        <v>0</v>
      </c>
      <c r="D32" s="4"/>
      <c r="E32" s="4"/>
      <c r="F32" s="4"/>
      <c r="G32" s="4"/>
      <c r="H32" s="4">
        <f>HLOOKUP($AJ32,$AP$4:$AS$36,$AI32,FALSE)-$AP32</f>
        <v>0</v>
      </c>
      <c r="I32" s="4"/>
      <c r="J32" s="4"/>
      <c r="K32" s="4"/>
      <c r="M32" s="4">
        <f>HLOOKUP($AJ32,$AU$4:$AX$36,$AI32,FALSE)-$AU32</f>
        <v>0</v>
      </c>
      <c r="N32" s="4"/>
      <c r="O32" s="4"/>
      <c r="P32" s="4"/>
      <c r="Q32" s="4"/>
      <c r="R32" s="4">
        <f>HLOOKUP($AJ32,$AZ$4:$BC$36,$AI32,FALSE)-$AZ32</f>
        <v>0</v>
      </c>
      <c r="S32" s="4"/>
      <c r="T32" s="4"/>
      <c r="U32" s="4"/>
      <c r="W32" s="4">
        <f>HLOOKUP($AJ32,$BE$4:$BH$36,$AI32,FALSE)-$BE32</f>
        <v>0</v>
      </c>
      <c r="X32" s="4"/>
      <c r="Y32" s="4"/>
      <c r="Z32" s="4"/>
      <c r="AA32" s="4"/>
      <c r="AB32" s="4">
        <f>HLOOKUP($AJ32,$BJ$4:$BM$36,$AI32,FALSE)-$BJ32</f>
        <v>0</v>
      </c>
      <c r="AC32" s="4"/>
      <c r="AD32" s="4"/>
      <c r="AE32" s="4"/>
      <c r="AH32" s="2" t="s">
        <v>72</v>
      </c>
      <c r="AI32" s="2">
        <v>29</v>
      </c>
      <c r="AJ32" s="267">
        <f>AJ40</f>
        <v>3.5</v>
      </c>
      <c r="AK32" s="4">
        <v>12.79079999984242</v>
      </c>
      <c r="AL32" s="4">
        <v>14.608599999919534</v>
      </c>
      <c r="AM32" s="4">
        <v>18.249199999962002</v>
      </c>
      <c r="AN32" s="4">
        <v>43.671000000089407</v>
      </c>
      <c r="AO32"/>
      <c r="AP32" s="4">
        <v>2.2165000000386499</v>
      </c>
      <c r="AQ32" s="4">
        <v>2.5479999999515712</v>
      </c>
      <c r="AR32" s="4">
        <v>3.2110000000102445</v>
      </c>
      <c r="AS32" s="4">
        <v>4.5950000000884756</v>
      </c>
      <c r="AT32"/>
      <c r="AU32" s="4">
        <v>9.9457999999867752</v>
      </c>
      <c r="AV32" s="4">
        <v>11.288599999970756</v>
      </c>
      <c r="AW32" s="4">
        <v>13.984199999948032</v>
      </c>
      <c r="AX32" s="4">
        <v>24.830999999889173</v>
      </c>
      <c r="AY32"/>
      <c r="AZ32" s="4">
        <v>107.12650000117719</v>
      </c>
      <c r="BA32" s="4">
        <v>124.94299999810755</v>
      </c>
      <c r="BB32" s="4">
        <v>160.57100000232458</v>
      </c>
      <c r="BC32" s="4">
        <v>366.00500000081956</v>
      </c>
      <c r="BD32"/>
      <c r="BE32" s="4">
        <v>4.8607999999949243</v>
      </c>
      <c r="BF32" s="4">
        <v>5.3585999999922933</v>
      </c>
      <c r="BG32" s="4">
        <v>6.3542000000161352</v>
      </c>
      <c r="BH32" s="4">
        <v>8.9810000000143191</v>
      </c>
      <c r="BI32"/>
      <c r="BJ32" s="4">
        <f>IF(Stappen!$BJ$24=OR(1,2),CA32,CF32)</f>
        <v>0.75499999994644895</v>
      </c>
      <c r="BK32" s="4">
        <f>IF(Stappen!$BJ$24=OR(1,2),CB32,CG32)</f>
        <v>0.88500000003841706</v>
      </c>
      <c r="BL32" s="4">
        <f>IF(Stappen!$BJ$24=OR(1,2),CC32,CH32)</f>
        <v>1.1350000000093132</v>
      </c>
      <c r="BM32" s="4">
        <f>IF(Stappen!$BJ$24=OR(1,2),CD32,CI32)</f>
        <v>1.1799999999930151</v>
      </c>
      <c r="BN32"/>
      <c r="BO32" s="4" t="s">
        <v>481</v>
      </c>
      <c r="CA32" s="4">
        <v>0.75500000006286427</v>
      </c>
      <c r="CB32" s="4">
        <v>0.88499999995110556</v>
      </c>
      <c r="CC32" s="4">
        <v>1.1350000000093132</v>
      </c>
      <c r="CD32" s="4">
        <v>1.1800000000512227</v>
      </c>
      <c r="CE32"/>
      <c r="CF32" s="4">
        <v>0.75499999994644895</v>
      </c>
      <c r="CG32" s="4">
        <v>0.88500000003841706</v>
      </c>
      <c r="CH32" s="4">
        <v>1.1350000000093132</v>
      </c>
      <c r="CI32" s="4">
        <v>1.1799999999930151</v>
      </c>
      <c r="CJ32"/>
    </row>
    <row r="33" spans="2:88" ht="15" x14ac:dyDescent="0.25">
      <c r="B33" s="99" t="s">
        <v>81</v>
      </c>
      <c r="C33" s="4"/>
      <c r="D33" s="4">
        <f>HLOOKUP($AJ33,$AK$4:$AN$36,$AI33,FALSE)-$AK33</f>
        <v>0</v>
      </c>
      <c r="E33" s="4"/>
      <c r="F33" s="4"/>
      <c r="G33" s="4"/>
      <c r="H33" s="4"/>
      <c r="I33" s="4">
        <f>HLOOKUP($AJ33,$AP$4:$AS$36,$AI33,FALSE)-$AP33</f>
        <v>0</v>
      </c>
      <c r="J33" s="4"/>
      <c r="K33" s="4"/>
      <c r="M33" s="4"/>
      <c r="N33" s="4">
        <f>HLOOKUP($AJ33,$AU$4:$AX$36,$AI33,FALSE)-$AU33</f>
        <v>0</v>
      </c>
      <c r="O33" s="4"/>
      <c r="P33" s="4"/>
      <c r="Q33" s="4"/>
      <c r="R33" s="4"/>
      <c r="S33" s="4">
        <f>HLOOKUP($AJ33,$AZ$4:$BC$36,$AI33,FALSE)-$AZ33</f>
        <v>0</v>
      </c>
      <c r="T33" s="4"/>
      <c r="U33" s="4"/>
      <c r="W33" s="4"/>
      <c r="X33" s="4">
        <f>HLOOKUP($AJ33,$BE$4:$BH$36,$AI33,FALSE)-$BE33</f>
        <v>0</v>
      </c>
      <c r="Y33" s="4"/>
      <c r="Z33" s="4"/>
      <c r="AA33" s="4"/>
      <c r="AB33" s="4"/>
      <c r="AC33" s="4">
        <f>HLOOKUP($AJ33,$BJ$4:$BM$36,$AI33,FALSE)-$BJ33</f>
        <v>0</v>
      </c>
      <c r="AD33" s="4"/>
      <c r="AE33" s="4"/>
      <c r="AH33" s="2" t="s">
        <v>81</v>
      </c>
      <c r="AI33" s="2">
        <v>30</v>
      </c>
      <c r="AJ33" s="267">
        <f>AJ40</f>
        <v>3.5</v>
      </c>
      <c r="AK33" s="4">
        <v>122.27299999957904</v>
      </c>
      <c r="AL33" s="4">
        <v>125.53300000005402</v>
      </c>
      <c r="AM33" s="4">
        <v>136.54799999995157</v>
      </c>
      <c r="AN33" s="4">
        <v>156.10800000000745</v>
      </c>
      <c r="AO33"/>
      <c r="AP33" s="4">
        <v>20.772499999904539</v>
      </c>
      <c r="AQ33" s="4">
        <v>22.102499999979045</v>
      </c>
      <c r="AR33" s="4">
        <v>25.027500000083819</v>
      </c>
      <c r="AS33" s="4">
        <v>33.022500000020955</v>
      </c>
      <c r="AT33"/>
      <c r="AU33" s="4">
        <v>59.782999999821186</v>
      </c>
      <c r="AV33" s="4">
        <v>62.763000000151806</v>
      </c>
      <c r="AW33" s="4">
        <v>69.287999999825843</v>
      </c>
      <c r="AX33" s="4">
        <v>87.147999999928288</v>
      </c>
      <c r="AY33"/>
      <c r="AZ33" s="4">
        <v>984.22249999828637</v>
      </c>
      <c r="BA33" s="4">
        <v>1060.5025000032037</v>
      </c>
      <c r="BB33" s="4">
        <v>1223.0124999973923</v>
      </c>
      <c r="BC33" s="4">
        <v>1680.7124999966472</v>
      </c>
      <c r="BD33"/>
      <c r="BE33" s="4">
        <v>17.687999999980093</v>
      </c>
      <c r="BF33" s="4">
        <v>18.018000000025495</v>
      </c>
      <c r="BG33" s="4">
        <v>18.717999999978929</v>
      </c>
      <c r="BH33" s="4">
        <v>20.687999999994645</v>
      </c>
      <c r="BI33"/>
      <c r="BJ33" s="4">
        <f>IF(Stappen!$BJ$24=OR(1,2),CA33,CF33)</f>
        <v>9.0249999999650754</v>
      </c>
      <c r="BK33" s="4">
        <f>IF(Stappen!$BJ$24=OR(1,2),CB33,CG33)</f>
        <v>9.8100000000267755</v>
      </c>
      <c r="BL33" s="4">
        <f>IF(Stappen!$BJ$24=OR(1,2),CC33,CH33)</f>
        <v>10.313099999999395</v>
      </c>
      <c r="BM33" s="4">
        <f>IF(Stappen!$BJ$24=OR(1,2),CD33,CI33)</f>
        <v>10.348099999973783</v>
      </c>
      <c r="BN33"/>
      <c r="BO33" s="4" t="s">
        <v>483</v>
      </c>
      <c r="CA33" s="4">
        <v>9.0249999999650754</v>
      </c>
      <c r="CB33" s="4">
        <v>9.8099999999976717</v>
      </c>
      <c r="CC33" s="4">
        <v>10.313100000028498</v>
      </c>
      <c r="CD33" s="4">
        <v>10.348099999944679</v>
      </c>
      <c r="CE33"/>
      <c r="CF33" s="4">
        <v>9.0249999999650754</v>
      </c>
      <c r="CG33" s="4">
        <v>9.8100000000267755</v>
      </c>
      <c r="CH33" s="4">
        <v>10.313099999999395</v>
      </c>
      <c r="CI33" s="4">
        <v>10.348099999973783</v>
      </c>
      <c r="CJ33"/>
    </row>
    <row r="34" spans="2:88" ht="15" x14ac:dyDescent="0.25">
      <c r="B34" s="99" t="s">
        <v>353</v>
      </c>
      <c r="C34" s="4"/>
      <c r="D34" s="4"/>
      <c r="E34" s="4">
        <f>HLOOKUP($AJ34,$AK$4:$AN$36,$AI34,FALSE)-$AK34</f>
        <v>0</v>
      </c>
      <c r="F34" s="4"/>
      <c r="G34" s="4"/>
      <c r="H34" s="4"/>
      <c r="I34" s="4"/>
      <c r="J34" s="4">
        <f>HLOOKUP($AJ34,$AP$4:$AS$36,$AI34,FALSE)-$AP34</f>
        <v>0</v>
      </c>
      <c r="K34" s="4"/>
      <c r="M34" s="4"/>
      <c r="N34" s="4"/>
      <c r="O34" s="4">
        <f>HLOOKUP($AJ34,$AU$4:$AX$36,$AI34,FALSE)-$AU34</f>
        <v>0</v>
      </c>
      <c r="P34" s="4"/>
      <c r="Q34" s="4"/>
      <c r="R34" s="4"/>
      <c r="S34" s="4"/>
      <c r="T34" s="4">
        <f>HLOOKUP($AJ34,$AZ$4:$BC$36,$AI34,FALSE)-$AZ34</f>
        <v>0</v>
      </c>
      <c r="U34" s="4"/>
      <c r="W34" s="4"/>
      <c r="X34" s="4"/>
      <c r="Y34" s="4">
        <f>HLOOKUP($AJ34,$BE$4:$BH$36,$AI34,FALSE)-$BE34</f>
        <v>0</v>
      </c>
      <c r="Z34" s="4"/>
      <c r="AA34" s="4"/>
      <c r="AB34" s="4"/>
      <c r="AC34" s="4"/>
      <c r="AD34" s="4">
        <f>HLOOKUP($AJ34,$BJ$4:$BM$36,$AI34,FALSE)-$BJ34</f>
        <v>0</v>
      </c>
      <c r="AE34" s="4"/>
      <c r="AH34" s="2" t="s">
        <v>353</v>
      </c>
      <c r="AI34" s="2">
        <v>31</v>
      </c>
      <c r="AJ34" s="267">
        <f>AJ40</f>
        <v>3.5</v>
      </c>
      <c r="AK34" s="4">
        <v>98.654799999669194</v>
      </c>
      <c r="AL34" s="4">
        <v>103.53260000026785</v>
      </c>
      <c r="AM34" s="525">
        <v>-1000</v>
      </c>
      <c r="AN34" s="525">
        <v>-1000</v>
      </c>
      <c r="AO34"/>
      <c r="AP34" s="4">
        <v>15.838999999978114</v>
      </c>
      <c r="AQ34" s="4">
        <v>16.710500000044703</v>
      </c>
      <c r="AR34" s="525">
        <v>-1000</v>
      </c>
      <c r="AS34" s="525">
        <v>-1000</v>
      </c>
      <c r="AT34"/>
      <c r="AU34" s="4">
        <v>45.084800000186078</v>
      </c>
      <c r="AV34" s="4">
        <v>47.762599999899976</v>
      </c>
      <c r="AW34" s="525">
        <v>-1000</v>
      </c>
      <c r="AX34" s="525">
        <v>-1000</v>
      </c>
      <c r="AY34"/>
      <c r="AZ34" s="4">
        <v>624.7090000025928</v>
      </c>
      <c r="BA34" s="4">
        <v>662.77549999766052</v>
      </c>
      <c r="BB34" s="525">
        <v>-1000</v>
      </c>
      <c r="BC34" s="525">
        <v>-1000</v>
      </c>
      <c r="BD34"/>
      <c r="BE34" s="4">
        <v>10.034799999993993</v>
      </c>
      <c r="BF34" s="4">
        <v>10.662599999996019</v>
      </c>
      <c r="BG34" s="525">
        <v>-1000</v>
      </c>
      <c r="BH34" s="525">
        <v>-1000</v>
      </c>
      <c r="BI34"/>
      <c r="BJ34" s="4">
        <f>IF(Stappen!$BJ$24=OR(1,2),CA34,CF34)</f>
        <v>3.6249999999708962</v>
      </c>
      <c r="BK34" s="4">
        <f>IF(Stappen!$BJ$24=OR(1,2),CB34,CG34)</f>
        <v>3.8650000000197906</v>
      </c>
      <c r="BL34" s="525" t="str">
        <f>IF(Stappen!$BJ$24=OR(1,2),CC34,CH34)</f>
        <v>x</v>
      </c>
      <c r="BM34" s="525" t="str">
        <f>IF(Stappen!$BJ$24=OR(1,2),CD34,CI34)</f>
        <v>x</v>
      </c>
      <c r="BN34"/>
      <c r="BO34" s="4" t="s">
        <v>485</v>
      </c>
      <c r="CA34" s="4">
        <v>3.6249999999417923</v>
      </c>
      <c r="CB34" s="4">
        <v>3.8650000000488944</v>
      </c>
      <c r="CC34" s="4" t="s">
        <v>566</v>
      </c>
      <c r="CD34" s="4" t="s">
        <v>566</v>
      </c>
      <c r="CE34"/>
      <c r="CF34" s="4">
        <v>3.6249999999708962</v>
      </c>
      <c r="CG34" s="4">
        <v>3.8650000000197906</v>
      </c>
      <c r="CH34" s="4" t="s">
        <v>566</v>
      </c>
      <c r="CI34" s="4" t="s">
        <v>566</v>
      </c>
      <c r="CJ34"/>
    </row>
    <row r="35" spans="2:88" ht="15" x14ac:dyDescent="0.25">
      <c r="B35" s="99" t="s">
        <v>137</v>
      </c>
      <c r="C35" s="4"/>
      <c r="D35" s="4"/>
      <c r="E35" s="4"/>
      <c r="F35" s="4">
        <f>HLOOKUP($AJ35,$AK$4:$AN$36,$AI35,FALSE)-$AK35</f>
        <v>0</v>
      </c>
      <c r="G35" s="4"/>
      <c r="H35" s="4"/>
      <c r="I35" s="4"/>
      <c r="J35" s="4"/>
      <c r="K35" s="4">
        <f>HLOOKUP($AJ35,$AP$4:$AS$36,$AI35,FALSE)-$AP35</f>
        <v>0</v>
      </c>
      <c r="M35" s="4"/>
      <c r="N35" s="4"/>
      <c r="O35" s="4"/>
      <c r="P35" s="4">
        <f>HLOOKUP($AJ35,$AU$4:$AX$36,$AI35,FALSE)-$AU35</f>
        <v>0</v>
      </c>
      <c r="Q35" s="4"/>
      <c r="R35" s="4"/>
      <c r="S35" s="4"/>
      <c r="T35" s="4"/>
      <c r="U35" s="4">
        <f>HLOOKUP($AJ35,$AZ$4:$BC$36,$AI35,FALSE)-$AZ35</f>
        <v>0</v>
      </c>
      <c r="W35" s="4"/>
      <c r="X35" s="4"/>
      <c r="Y35" s="4"/>
      <c r="Z35" s="4">
        <f>HLOOKUP($AJ35,$BE$4:$BH$36,$AI35,FALSE)-$BE35</f>
        <v>0</v>
      </c>
      <c r="AA35" s="4"/>
      <c r="AB35" s="4"/>
      <c r="AC35" s="4"/>
      <c r="AD35" s="4"/>
      <c r="AE35" s="4">
        <f>HLOOKUP($AJ35,$BJ$4:$BM$36,$AI35,FALSE)-$BJ35</f>
        <v>0</v>
      </c>
      <c r="AH35" s="2" t="s">
        <v>137</v>
      </c>
      <c r="AI35" s="2">
        <v>32</v>
      </c>
      <c r="AJ35" s="267">
        <f>AJ40</f>
        <v>3.5</v>
      </c>
      <c r="AK35" s="4">
        <v>47.512240000069141</v>
      </c>
      <c r="AL35" s="4">
        <v>52.50323999999091</v>
      </c>
      <c r="AM35" s="4">
        <v>58.215040000155568</v>
      </c>
      <c r="AN35" s="4">
        <v>126.33499999996275</v>
      </c>
      <c r="AO35"/>
      <c r="AP35" s="4">
        <v>6.1117000000085682</v>
      </c>
      <c r="AQ35" s="4">
        <v>6.6126999999396503</v>
      </c>
      <c r="AR35" s="4">
        <v>7.3392000000458211</v>
      </c>
      <c r="AS35" s="4">
        <v>16.309999999939464</v>
      </c>
      <c r="AT35"/>
      <c r="AU35" s="4">
        <v>37.685239999904297</v>
      </c>
      <c r="AV35" s="4">
        <v>39.555240000016056</v>
      </c>
      <c r="AW35" s="4">
        <v>42.371039999998175</v>
      </c>
      <c r="AX35" s="4">
        <v>65.330000000190921</v>
      </c>
      <c r="AY35"/>
      <c r="AZ35" s="4">
        <v>147.16569999977946</v>
      </c>
      <c r="BA35" s="4">
        <v>174.18769999966025</v>
      </c>
      <c r="BB35" s="4">
        <v>213.05119999870658</v>
      </c>
      <c r="BC35" s="4">
        <v>1596.7550000008196</v>
      </c>
      <c r="BD35"/>
      <c r="BE35" s="4">
        <v>29.360239999979967</v>
      </c>
      <c r="BF35" s="4">
        <v>29.575239999991027</v>
      </c>
      <c r="BG35" s="4">
        <v>30.240040000004228</v>
      </c>
      <c r="BH35" s="4">
        <v>24.144999999989523</v>
      </c>
      <c r="BI35"/>
      <c r="BJ35" s="4">
        <f>IF(Stappen!$BJ$24=OR(1,2),CA35,CF35)</f>
        <v>0.93499999999767169</v>
      </c>
      <c r="BK35" s="4">
        <f>IF(Stappen!$BJ$24=OR(1,2),CB35,CG35)</f>
        <v>1.1190000000060536</v>
      </c>
      <c r="BL35" s="4">
        <f>IF(Stappen!$BJ$24=OR(1,2),CC35,CH35)</f>
        <v>1.3750000000291038</v>
      </c>
      <c r="BM35" s="4">
        <f>IF(Stappen!$BJ$24=OR(1,2),CD35,CI35)</f>
        <v>5.9399999999732245</v>
      </c>
      <c r="BN35"/>
      <c r="BO35" s="4" t="s">
        <v>482</v>
      </c>
      <c r="CA35" s="4">
        <v>0.93499999993946403</v>
      </c>
      <c r="CB35" s="4">
        <v>1.1190000000060536</v>
      </c>
      <c r="CC35" s="4">
        <v>1.375</v>
      </c>
      <c r="CD35" s="4">
        <v>5.9400000000023283</v>
      </c>
      <c r="CE35"/>
      <c r="CF35" s="4">
        <v>0.93499999999767169</v>
      </c>
      <c r="CG35" s="4">
        <v>1.1190000000060536</v>
      </c>
      <c r="CH35" s="4">
        <v>1.3750000000291038</v>
      </c>
      <c r="CI35" s="4">
        <v>5.9399999999732245</v>
      </c>
      <c r="CJ35"/>
    </row>
    <row r="36" spans="2:88" ht="15" x14ac:dyDescent="0.25">
      <c r="B36" s="275" t="s">
        <v>474</v>
      </c>
      <c r="C36" s="374">
        <f>$AJ36*$AK36</f>
        <v>0</v>
      </c>
      <c r="D36" s="374">
        <f>$AJ36*$AK36</f>
        <v>0</v>
      </c>
      <c r="E36" s="374">
        <f>$AJ36*$AK36</f>
        <v>0</v>
      </c>
      <c r="F36" s="374">
        <f>$AJ36*$AK36</f>
        <v>0</v>
      </c>
      <c r="G36" s="4"/>
      <c r="H36" s="374">
        <f>$AJ36*$AP36</f>
        <v>0</v>
      </c>
      <c r="I36" s="374">
        <f>$AJ36*$AP36</f>
        <v>0</v>
      </c>
      <c r="J36" s="374">
        <f>$AJ36*$AP36</f>
        <v>0</v>
      </c>
      <c r="K36" s="374">
        <f>$AJ36*$AP36</f>
        <v>0</v>
      </c>
      <c r="M36" s="374">
        <f>$AJ36*$AU36</f>
        <v>0</v>
      </c>
      <c r="N36" s="374">
        <f t="shared" ref="N36:P36" si="6">$AJ36*$AU36</f>
        <v>0</v>
      </c>
      <c r="O36" s="374">
        <f t="shared" si="6"/>
        <v>0</v>
      </c>
      <c r="P36" s="374">
        <f t="shared" si="6"/>
        <v>0</v>
      </c>
      <c r="Q36" s="4"/>
      <c r="R36" s="374">
        <f>$AJ36*$AZ36</f>
        <v>0</v>
      </c>
      <c r="S36" s="374">
        <f t="shared" ref="S36:U36" si="7">$AJ36*$AZ36</f>
        <v>0</v>
      </c>
      <c r="T36" s="374">
        <f t="shared" si="7"/>
        <v>0</v>
      </c>
      <c r="U36" s="374">
        <f t="shared" si="7"/>
        <v>0</v>
      </c>
      <c r="W36" s="374">
        <f>$AJ36*$BE36</f>
        <v>0</v>
      </c>
      <c r="X36" s="374">
        <f t="shared" ref="X36:Z36" si="8">$AJ36*$BE36</f>
        <v>0</v>
      </c>
      <c r="Y36" s="374">
        <f t="shared" si="8"/>
        <v>0</v>
      </c>
      <c r="Z36" s="374">
        <f t="shared" si="8"/>
        <v>0</v>
      </c>
      <c r="AA36" s="4"/>
      <c r="AB36" s="374">
        <f>$AJ36*$BJ36</f>
        <v>0</v>
      </c>
      <c r="AC36" s="374">
        <f>$AJ36*$BJ36</f>
        <v>0</v>
      </c>
      <c r="AD36" s="374">
        <f>$AJ36*$BJ36</f>
        <v>0</v>
      </c>
      <c r="AE36" s="374">
        <f t="shared" ref="AE36" si="9">$AJ36*$BJ36</f>
        <v>0</v>
      </c>
      <c r="AH36" s="2" t="s">
        <v>474</v>
      </c>
      <c r="AI36" s="2">
        <v>33</v>
      </c>
      <c r="AJ36" s="280">
        <f>AJ47</f>
        <v>0</v>
      </c>
      <c r="AK36" s="4">
        <v>174.90500000002794</v>
      </c>
      <c r="AL36"/>
      <c r="AM36"/>
      <c r="AN36"/>
      <c r="AO36"/>
      <c r="AP36" s="4">
        <v>36.729999999923166</v>
      </c>
      <c r="AQ36"/>
      <c r="AR36"/>
      <c r="AS36"/>
      <c r="AT36"/>
      <c r="AU36" s="4">
        <v>124.19000000029337</v>
      </c>
      <c r="AV36"/>
      <c r="AW36"/>
      <c r="AX36"/>
      <c r="AY36"/>
      <c r="AZ36" s="4">
        <v>2070.4350000005215</v>
      </c>
      <c r="BA36"/>
      <c r="BB36"/>
      <c r="BC36"/>
      <c r="BD36"/>
      <c r="BE36" s="4">
        <v>13.150000000008731</v>
      </c>
      <c r="BF36"/>
      <c r="BG36"/>
      <c r="BH36"/>
      <c r="BI36"/>
      <c r="BJ36" s="4">
        <f>IF(Stappen!$BJ$24=OR(1,2),CA36,CF36)</f>
        <v>27.980000000039581</v>
      </c>
      <c r="BK36"/>
      <c r="BL36"/>
      <c r="BM36"/>
      <c r="BN36"/>
      <c r="BO36" s="4" t="s">
        <v>484</v>
      </c>
      <c r="CA36" s="4">
        <v>41.969999999913853</v>
      </c>
      <c r="CB36"/>
      <c r="CC36"/>
      <c r="CD36"/>
      <c r="CE36"/>
      <c r="CF36" s="4">
        <v>27.980000000039581</v>
      </c>
      <c r="CG36"/>
      <c r="CH36"/>
      <c r="CI36"/>
      <c r="CJ36"/>
    </row>
    <row r="37" spans="2:88" x14ac:dyDescent="0.2">
      <c r="B37" s="2" t="s">
        <v>557</v>
      </c>
      <c r="C37" s="374">
        <f>$AJ37*$AK36</f>
        <v>0</v>
      </c>
      <c r="D37" s="374">
        <f t="shared" ref="D37:F37" si="10">$AJ37*$AK36</f>
        <v>0</v>
      </c>
      <c r="E37" s="374">
        <f t="shared" si="10"/>
        <v>0</v>
      </c>
      <c r="F37" s="374">
        <f t="shared" si="10"/>
        <v>0</v>
      </c>
      <c r="G37" s="4"/>
      <c r="H37" s="374">
        <f>$AJ37*$AP36</f>
        <v>0</v>
      </c>
      <c r="I37" s="374">
        <f t="shared" ref="I37:K37" si="11">$AJ37*$AP36</f>
        <v>0</v>
      </c>
      <c r="J37" s="374">
        <f t="shared" si="11"/>
        <v>0</v>
      </c>
      <c r="K37" s="374">
        <f t="shared" si="11"/>
        <v>0</v>
      </c>
      <c r="M37" s="374">
        <f>$AJ37*$AU36</f>
        <v>0</v>
      </c>
      <c r="N37" s="374">
        <f t="shared" ref="N37:P37" si="12">$AJ37*$AU36</f>
        <v>0</v>
      </c>
      <c r="O37" s="374">
        <f t="shared" si="12"/>
        <v>0</v>
      </c>
      <c r="P37" s="374">
        <f t="shared" si="12"/>
        <v>0</v>
      </c>
      <c r="Q37" s="4"/>
      <c r="R37" s="374">
        <f>$AJ37*$AZ36</f>
        <v>0</v>
      </c>
      <c r="S37" s="374">
        <f t="shared" ref="S37:U37" si="13">$AJ37*$AZ36</f>
        <v>0</v>
      </c>
      <c r="T37" s="374">
        <f t="shared" si="13"/>
        <v>0</v>
      </c>
      <c r="U37" s="374">
        <f t="shared" si="13"/>
        <v>0</v>
      </c>
      <c r="W37" s="374">
        <f>$AJ37*$BE36</f>
        <v>0</v>
      </c>
      <c r="X37" s="374">
        <f t="shared" ref="X37:Z37" si="14">$AJ37*$BE36</f>
        <v>0</v>
      </c>
      <c r="Y37" s="374">
        <f t="shared" si="14"/>
        <v>0</v>
      </c>
      <c r="Z37" s="374">
        <f t="shared" si="14"/>
        <v>0</v>
      </c>
      <c r="AA37" s="4"/>
      <c r="AB37" s="374">
        <f>$AJ37*$BJ36</f>
        <v>0</v>
      </c>
      <c r="AC37" s="374">
        <f t="shared" ref="AC37:AE37" si="15">$AJ37*$BJ36</f>
        <v>0</v>
      </c>
      <c r="AD37" s="374">
        <f t="shared" si="15"/>
        <v>0</v>
      </c>
      <c r="AE37" s="374">
        <f t="shared" si="15"/>
        <v>0</v>
      </c>
      <c r="AJ37" s="416">
        <f>Referentieproject!AB82</f>
        <v>0</v>
      </c>
      <c r="AK37" s="4"/>
      <c r="AL37" s="4"/>
      <c r="AM37" s="4"/>
      <c r="AN37" s="4"/>
      <c r="AO37" s="4"/>
      <c r="AP37" s="4"/>
      <c r="AQ37" s="4"/>
      <c r="AR37" s="4"/>
      <c r="AS37" s="4"/>
    </row>
    <row r="38" spans="2:88" x14ac:dyDescent="0.2"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2:88" x14ac:dyDescent="0.2">
      <c r="B39" s="263" t="s">
        <v>245</v>
      </c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H39" s="263" t="s">
        <v>542</v>
      </c>
      <c r="AJ39" s="278">
        <f>Stappen!AB74</f>
        <v>3.5</v>
      </c>
      <c r="AK39" s="4"/>
      <c r="AL39" s="4"/>
      <c r="AM39" s="4"/>
      <c r="AN39" s="4"/>
      <c r="AO39" s="4"/>
      <c r="AP39" s="4"/>
      <c r="AQ39" s="4"/>
      <c r="AR39" s="4"/>
      <c r="AS39" s="4"/>
    </row>
    <row r="40" spans="2:88" x14ac:dyDescent="0.2">
      <c r="B40" s="263" t="s">
        <v>246</v>
      </c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H40" s="263" t="s">
        <v>543</v>
      </c>
      <c r="AJ40" s="278">
        <f>Stappen!AB75</f>
        <v>3.5</v>
      </c>
      <c r="AK40" s="4"/>
      <c r="AL40" s="4"/>
      <c r="AM40" s="4"/>
      <c r="AN40" s="4"/>
      <c r="AO40" s="4"/>
      <c r="AP40" s="4"/>
      <c r="AQ40" s="4"/>
      <c r="AR40" s="4"/>
      <c r="AS40" s="4"/>
    </row>
    <row r="41" spans="2:88" x14ac:dyDescent="0.2">
      <c r="B41" s="263" t="s">
        <v>247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H41" s="263" t="s">
        <v>544</v>
      </c>
      <c r="AJ41" s="278">
        <f>Stappen!AB76</f>
        <v>3.5</v>
      </c>
      <c r="AK41" s="4"/>
      <c r="AL41" s="4"/>
      <c r="AM41" s="4"/>
      <c r="AN41" s="4"/>
      <c r="AO41" s="4"/>
      <c r="AP41" s="4"/>
      <c r="AQ41" s="4"/>
      <c r="AR41" s="4"/>
      <c r="AS41" s="4"/>
    </row>
    <row r="42" spans="2:88" x14ac:dyDescent="0.2">
      <c r="AJ42" s="4"/>
      <c r="AK42" s="4"/>
      <c r="AL42" s="4"/>
      <c r="AM42" s="4"/>
      <c r="AN42" s="4"/>
      <c r="AO42" s="4"/>
      <c r="AP42" s="4"/>
      <c r="AQ42" s="4"/>
      <c r="AR42" s="4"/>
      <c r="AS42" s="4"/>
    </row>
    <row r="43" spans="2:88" x14ac:dyDescent="0.2">
      <c r="B43" s="263" t="s">
        <v>460</v>
      </c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H43" s="263" t="s">
        <v>545</v>
      </c>
      <c r="AJ43" s="278">
        <f>Stappen!AB78</f>
        <v>1.65</v>
      </c>
      <c r="AK43" s="4"/>
      <c r="AL43" s="4"/>
      <c r="AM43" s="4"/>
      <c r="AN43" s="4"/>
      <c r="AO43" s="4"/>
      <c r="AP43" s="4"/>
      <c r="AQ43" s="4"/>
      <c r="AR43" s="4"/>
      <c r="AS43" s="4"/>
    </row>
    <row r="44" spans="2:88" x14ac:dyDescent="0.2">
      <c r="B44" s="263" t="s">
        <v>461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H44" s="263" t="s">
        <v>546</v>
      </c>
      <c r="AJ44" s="278">
        <f>Stappen!AB79</f>
        <v>1.65</v>
      </c>
      <c r="AK44" s="4"/>
      <c r="AL44" s="4"/>
      <c r="AM44" s="4"/>
      <c r="AN44" s="4"/>
      <c r="AO44" s="4"/>
      <c r="AP44" s="4"/>
      <c r="AQ44" s="4"/>
      <c r="AR44" s="4"/>
      <c r="AS44" s="4"/>
    </row>
    <row r="45" spans="2:88" x14ac:dyDescent="0.2"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2:88" x14ac:dyDescent="0.2">
      <c r="B46" s="263" t="s">
        <v>462</v>
      </c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H46" s="263" t="s">
        <v>547</v>
      </c>
      <c r="AJ46" s="278">
        <f>Stappen!AB81</f>
        <v>0</v>
      </c>
      <c r="AK46" s="4"/>
      <c r="AL46" s="4"/>
      <c r="AM46" s="4"/>
      <c r="AN46" s="4"/>
      <c r="AO46" s="4"/>
      <c r="AP46" s="4"/>
      <c r="AQ46" s="4"/>
      <c r="AR46" s="4"/>
      <c r="AS46" s="4"/>
    </row>
    <row r="47" spans="2:88" x14ac:dyDescent="0.2">
      <c r="B47" s="263" t="s">
        <v>463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H47" s="263" t="s">
        <v>548</v>
      </c>
      <c r="AJ47" s="278">
        <f>Stappen!AB82</f>
        <v>0</v>
      </c>
      <c r="AK47" s="4"/>
      <c r="AL47" s="4"/>
      <c r="AM47" s="4"/>
      <c r="AN47" s="4"/>
      <c r="AO47" s="4"/>
      <c r="AP47" s="4"/>
      <c r="AQ47" s="4"/>
      <c r="AR47" s="4"/>
      <c r="AS47" s="4"/>
    </row>
    <row r="48" spans="2:88" x14ac:dyDescent="0.2">
      <c r="AJ48" s="4"/>
      <c r="AK48" s="4"/>
      <c r="AL48" s="4"/>
      <c r="AM48" s="4"/>
      <c r="AN48" s="4"/>
      <c r="AO48" s="4"/>
      <c r="AP48" s="4"/>
      <c r="AQ48" s="4"/>
      <c r="AR48" s="4"/>
      <c r="AS48" s="4"/>
    </row>
    <row r="49" spans="2:67" ht="15" x14ac:dyDescent="0.25">
      <c r="AJ49" s="4"/>
      <c r="AK49" s="44" t="s">
        <v>146</v>
      </c>
      <c r="AL49" s="44"/>
      <c r="AM49" s="38"/>
      <c r="AN49" s="38"/>
      <c r="AO49" s="368"/>
      <c r="AP49" s="45" t="s">
        <v>147</v>
      </c>
      <c r="AQ49" s="45"/>
      <c r="AR49" s="43"/>
      <c r="AS49" s="43"/>
      <c r="AT49" s="365"/>
      <c r="AU49" s="303" t="s">
        <v>539</v>
      </c>
      <c r="AV49" s="303"/>
      <c r="AW49" s="304"/>
      <c r="AX49" s="304"/>
      <c r="AY49" s="367"/>
      <c r="AZ49" s="322" t="s">
        <v>28</v>
      </c>
      <c r="BA49" s="322"/>
      <c r="BB49" s="323"/>
      <c r="BC49" s="323"/>
      <c r="BD49" s="324"/>
      <c r="BE49" s="366" t="s">
        <v>540</v>
      </c>
      <c r="BF49" s="365"/>
      <c r="BG49" s="365"/>
      <c r="BH49" s="365"/>
      <c r="BI49" s="365"/>
      <c r="BJ49" s="303" t="str">
        <f>BJ15</f>
        <v>schaduwprijzen kantoren</v>
      </c>
      <c r="BK49" s="303"/>
      <c r="BL49" s="304"/>
      <c r="BM49" s="304"/>
      <c r="BN49" s="367"/>
    </row>
    <row r="50" spans="2:67" x14ac:dyDescent="0.2">
      <c r="B50" s="2" t="s">
        <v>492</v>
      </c>
      <c r="AH50" s="2" t="s">
        <v>492</v>
      </c>
      <c r="AI50" s="2">
        <v>1</v>
      </c>
      <c r="AJ50" s="4"/>
      <c r="AK50" s="344">
        <v>1</v>
      </c>
      <c r="AL50" s="38">
        <v>2</v>
      </c>
      <c r="AM50" s="38">
        <v>3</v>
      </c>
      <c r="AN50" s="38">
        <v>4</v>
      </c>
      <c r="AO50" s="38">
        <v>5</v>
      </c>
      <c r="AP50" s="45">
        <v>1</v>
      </c>
      <c r="AQ50" s="43">
        <v>2</v>
      </c>
      <c r="AR50" s="43">
        <v>3</v>
      </c>
      <c r="AS50" s="43">
        <v>4</v>
      </c>
      <c r="AT50" s="43">
        <v>5</v>
      </c>
      <c r="AU50" s="303">
        <v>1</v>
      </c>
      <c r="AV50" s="304">
        <v>2</v>
      </c>
      <c r="AW50" s="304">
        <v>3</v>
      </c>
      <c r="AX50" s="304">
        <v>4</v>
      </c>
      <c r="AY50" s="304">
        <v>5</v>
      </c>
      <c r="AZ50" s="322">
        <v>1</v>
      </c>
      <c r="BA50" s="323">
        <v>2</v>
      </c>
      <c r="BB50" s="323">
        <v>3</v>
      </c>
      <c r="BC50" s="323">
        <v>4</v>
      </c>
      <c r="BD50" s="323">
        <v>5</v>
      </c>
      <c r="BE50" s="45">
        <v>1</v>
      </c>
      <c r="BF50" s="43">
        <v>2</v>
      </c>
      <c r="BG50" s="43">
        <v>3</v>
      </c>
      <c r="BH50" s="43">
        <v>4</v>
      </c>
      <c r="BI50" s="43">
        <v>5</v>
      </c>
      <c r="BJ50" s="303">
        <v>1</v>
      </c>
      <c r="BK50" s="304">
        <v>2</v>
      </c>
      <c r="BL50" s="304">
        <v>3</v>
      </c>
      <c r="BM50" s="304">
        <v>4</v>
      </c>
      <c r="BN50" s="304">
        <v>5</v>
      </c>
    </row>
    <row r="51" spans="2:67" x14ac:dyDescent="0.2">
      <c r="B51" s="263" t="s">
        <v>272</v>
      </c>
      <c r="C51" s="4">
        <f t="shared" ref="C51:C56" si="16">HLOOKUP($AJ51,$AK$50:$AO$57,$AI51,FALSE)</f>
        <v>25.78</v>
      </c>
      <c r="D51" s="263"/>
      <c r="E51" s="263"/>
      <c r="F51" s="263"/>
      <c r="G51" s="263"/>
      <c r="H51" s="4">
        <f t="shared" ref="H51:H56" si="17">HLOOKUP($AJ51,$AP$50:$AT$57,$AI51,FALSE)</f>
        <v>3.335116062273753</v>
      </c>
      <c r="I51" s="263"/>
      <c r="J51" s="263"/>
      <c r="K51" s="263"/>
      <c r="L51" s="263"/>
      <c r="M51" s="4">
        <f>HLOOKUP($AJ51,$AU$50:$AY$57,$AI51,FALSE)</f>
        <v>8.7105228355005266</v>
      </c>
      <c r="N51" s="263"/>
      <c r="O51" s="263"/>
      <c r="P51" s="263"/>
      <c r="Q51" s="263"/>
      <c r="R51" s="4">
        <f>HLOOKUP($AJ51,$AZ$50:$BD$57,$AI51,FALSE)</f>
        <v>132.4035366442852</v>
      </c>
      <c r="S51" s="263"/>
      <c r="T51" s="263"/>
      <c r="U51" s="263"/>
      <c r="V51" s="263"/>
      <c r="W51" s="4">
        <f>HLOOKUP($AJ51,$BE$50:$BI$57,$AI51,FALSE)</f>
        <v>0.90922555580475872</v>
      </c>
      <c r="X51" s="263"/>
      <c r="Y51" s="263"/>
      <c r="Z51" s="263"/>
      <c r="AA51" s="263"/>
      <c r="AB51" s="4">
        <f>HLOOKUP($AJ51,$BJ$50:$BN$57,$AI51,FALSE)</f>
        <v>3.1031186023050199</v>
      </c>
      <c r="AC51" s="263"/>
      <c r="AD51" s="263"/>
      <c r="AE51" s="263"/>
      <c r="AF51" s="263"/>
      <c r="AH51" s="2" t="s">
        <v>272</v>
      </c>
      <c r="AI51" s="2">
        <v>2</v>
      </c>
      <c r="AJ51" s="278">
        <f>Stappen!AB84</f>
        <v>1</v>
      </c>
      <c r="AK51" s="4">
        <v>25.78</v>
      </c>
      <c r="AL51" s="4">
        <v>16.670000000000002</v>
      </c>
      <c r="AM51" s="4">
        <v>48.13</v>
      </c>
      <c r="AN51" s="4">
        <v>28.93</v>
      </c>
      <c r="AO51" s="4">
        <v>35.33</v>
      </c>
      <c r="AP51" s="267">
        <f>$AP$115/$AK$115*AK51</f>
        <v>3.335116062273753</v>
      </c>
      <c r="AQ51" s="267">
        <f t="shared" ref="AQ51:AT53" si="18">$AP$115/$AK$115*AL51</f>
        <v>2.1565703940303904</v>
      </c>
      <c r="AR51" s="267">
        <f t="shared" si="18"/>
        <v>6.2264986841441328</v>
      </c>
      <c r="AS51" s="267">
        <f t="shared" si="18"/>
        <v>3.7426263646850146</v>
      </c>
      <c r="AT51" s="267">
        <f t="shared" si="18"/>
        <v>4.5705838045047207</v>
      </c>
      <c r="AU51" s="267">
        <f>$AU$115/$AP$115*AP51</f>
        <v>8.7105228355005266</v>
      </c>
      <c r="AV51" s="267">
        <f t="shared" ref="AV51:AY53" si="19">$AU$115/$AP$115*AQ51</f>
        <v>5.6324443625986724</v>
      </c>
      <c r="AW51" s="267">
        <f t="shared" si="19"/>
        <v>16.262120406231201</v>
      </c>
      <c r="AX51" s="267">
        <f t="shared" si="19"/>
        <v>9.7748419562075348</v>
      </c>
      <c r="AY51" s="267">
        <f t="shared" si="19"/>
        <v>11.937268106215424</v>
      </c>
      <c r="AZ51" s="267">
        <f>$AZ$115/$AU$115*AU51</f>
        <v>132.4035366442852</v>
      </c>
      <c r="BA51" s="267">
        <f t="shared" ref="BA51:BD53" si="20">$AZ$115/$AU$115*AV51</f>
        <v>85.615475401870981</v>
      </c>
      <c r="BB51" s="267">
        <f t="shared" si="20"/>
        <v>247.1909316791872</v>
      </c>
      <c r="BC51" s="267">
        <f t="shared" si="20"/>
        <v>148.58162587739218</v>
      </c>
      <c r="BD51" s="267">
        <f t="shared" si="20"/>
        <v>181.45139447799053</v>
      </c>
      <c r="BE51" s="267">
        <f>$BE$115/$AZ$115*AZ51</f>
        <v>0.90922555580475872</v>
      </c>
      <c r="BF51" s="267">
        <f t="shared" ref="BF51:BI53" si="21">$BE$115/$AZ$115*BA51</f>
        <v>0.58792823953705686</v>
      </c>
      <c r="BG51" s="267">
        <f t="shared" si="21"/>
        <v>1.6974796742002729</v>
      </c>
      <c r="BH51" s="267">
        <f t="shared" si="21"/>
        <v>1.0203217738336567</v>
      </c>
      <c r="BI51" s="267">
        <f t="shared" si="21"/>
        <v>1.2460410739558623</v>
      </c>
      <c r="BJ51" s="267">
        <f>$BJ$115/$BE$115*BE51</f>
        <v>3.1031186023050199</v>
      </c>
      <c r="BK51" s="267">
        <f t="shared" ref="BK51:BN53" si="22">$BJ$115/$BE$115*BF51</f>
        <v>2.0065549689846653</v>
      </c>
      <c r="BL51" s="267">
        <f t="shared" si="22"/>
        <v>5.7933707652808613</v>
      </c>
      <c r="BM51" s="267">
        <f t="shared" si="22"/>
        <v>3.4822816588318166</v>
      </c>
      <c r="BN51" s="267">
        <f t="shared" si="22"/>
        <v>4.2526446943148324</v>
      </c>
      <c r="BO51" s="4" t="s">
        <v>537</v>
      </c>
    </row>
    <row r="52" spans="2:67" x14ac:dyDescent="0.2">
      <c r="B52" s="263" t="s">
        <v>273</v>
      </c>
      <c r="C52" s="4">
        <f t="shared" si="16"/>
        <v>24.5</v>
      </c>
      <c r="D52" s="263"/>
      <c r="E52" s="263"/>
      <c r="F52" s="263"/>
      <c r="G52" s="263"/>
      <c r="H52" s="4">
        <f t="shared" si="17"/>
        <v>3.1695245743098117</v>
      </c>
      <c r="I52" s="263"/>
      <c r="J52" s="263"/>
      <c r="K52" s="263"/>
      <c r="L52" s="263"/>
      <c r="M52" s="4">
        <f t="shared" ref="M52:M56" si="23">HLOOKUP($AJ52,$AU$50:$AY$57,$AI52,FALSE)</f>
        <v>8.2780376054989482</v>
      </c>
      <c r="N52" s="263"/>
      <c r="O52" s="263"/>
      <c r="P52" s="263"/>
      <c r="Q52" s="263"/>
      <c r="R52" s="4">
        <f t="shared" ref="R52:R56" si="24">HLOOKUP($AJ52,$AZ$50:$BD$57,$AI52,FALSE)</f>
        <v>125.82958292416551</v>
      </c>
      <c r="S52" s="263"/>
      <c r="T52" s="263"/>
      <c r="U52" s="263"/>
      <c r="V52" s="263"/>
      <c r="W52" s="4">
        <f t="shared" ref="W52:W56" si="25">HLOOKUP($AJ52,$BE$50:$BI$57,$AI52,FALSE)</f>
        <v>0.86408169578031757</v>
      </c>
      <c r="X52" s="263"/>
      <c r="Y52" s="263"/>
      <c r="Z52" s="263"/>
      <c r="AA52" s="263"/>
      <c r="AB52" s="4">
        <f t="shared" ref="AB52:AB56" si="26">HLOOKUP($AJ52,$BJ$50:$BN$57,$AI52,FALSE)</f>
        <v>2.9490459952084169</v>
      </c>
      <c r="AC52" s="263"/>
      <c r="AD52" s="263"/>
      <c r="AE52" s="263"/>
      <c r="AF52" s="263"/>
      <c r="AH52" s="2" t="s">
        <v>273</v>
      </c>
      <c r="AI52" s="2">
        <v>3</v>
      </c>
      <c r="AJ52" s="278">
        <f>Stappen!AB85</f>
        <v>1</v>
      </c>
      <c r="AK52" s="4">
        <v>24.5</v>
      </c>
      <c r="AL52" s="4">
        <v>38.33</v>
      </c>
      <c r="AM52" s="4">
        <v>3.33</v>
      </c>
      <c r="AN52" s="4"/>
      <c r="AO52" s="4"/>
      <c r="AP52" s="267">
        <f t="shared" ref="AP52" si="27">$AP$115/$AK$115*AK52</f>
        <v>3.1695245743098117</v>
      </c>
      <c r="AQ52" s="267">
        <f t="shared" si="18"/>
        <v>4.9586888544202079</v>
      </c>
      <c r="AR52" s="267">
        <f t="shared" si="18"/>
        <v>0.43079660540619075</v>
      </c>
      <c r="AS52" s="4"/>
      <c r="AT52" s="4"/>
      <c r="AU52" s="267">
        <f t="shared" ref="AU52:AU53" si="28">$AU$115/$AP$115*AP52</f>
        <v>8.2780376054989482</v>
      </c>
      <c r="AV52" s="267">
        <f t="shared" si="19"/>
        <v>12.950905364031621</v>
      </c>
      <c r="AW52" s="267">
        <f t="shared" si="19"/>
        <v>1.1251373561759797</v>
      </c>
      <c r="AX52" s="4"/>
      <c r="AY52" s="4"/>
      <c r="AZ52" s="267">
        <f t="shared" ref="AZ52:AZ53" si="29">$AZ$115/$AU$115*AU52</f>
        <v>125.82958292416551</v>
      </c>
      <c r="BA52" s="267">
        <f t="shared" si="20"/>
        <v>196.859098509521</v>
      </c>
      <c r="BB52" s="267">
        <f t="shared" si="20"/>
        <v>17.102551474998826</v>
      </c>
      <c r="BC52" s="4"/>
      <c r="BD52" s="4"/>
      <c r="BE52" s="267">
        <f t="shared" ref="BE52:BE53" si="30">$BE$115/$AZ$115*AZ52</f>
        <v>0.86408169578031757</v>
      </c>
      <c r="BF52" s="267">
        <f t="shared" si="21"/>
        <v>1.3518469958881461</v>
      </c>
      <c r="BG52" s="267">
        <f t="shared" si="21"/>
        <v>0.11744457334483502</v>
      </c>
      <c r="BH52" s="4"/>
      <c r="BI52" s="4"/>
      <c r="BJ52" s="267">
        <f t="shared" ref="BJ52:BJ53" si="31">$BJ$115/$BE$115*BE52</f>
        <v>2.9490459952084169</v>
      </c>
      <c r="BK52" s="267">
        <f t="shared" si="22"/>
        <v>4.6137523671974954</v>
      </c>
      <c r="BL52" s="267">
        <f t="shared" si="22"/>
        <v>0.40082951689975632</v>
      </c>
      <c r="BM52" s="4"/>
      <c r="BN52" s="4"/>
      <c r="BO52" s="4"/>
    </row>
    <row r="53" spans="2:67" x14ac:dyDescent="0.2">
      <c r="B53" s="263" t="s">
        <v>274</v>
      </c>
      <c r="C53" s="4">
        <f t="shared" si="16"/>
        <v>0</v>
      </c>
      <c r="D53" s="263"/>
      <c r="E53" s="263"/>
      <c r="F53" s="263"/>
      <c r="G53" s="263"/>
      <c r="H53" s="4">
        <f t="shared" si="17"/>
        <v>0</v>
      </c>
      <c r="I53" s="263"/>
      <c r="J53" s="263"/>
      <c r="K53" s="263"/>
      <c r="L53" s="263"/>
      <c r="M53" s="4">
        <f t="shared" si="23"/>
        <v>0</v>
      </c>
      <c r="N53" s="263"/>
      <c r="O53" s="263"/>
      <c r="P53" s="263"/>
      <c r="Q53" s="263"/>
      <c r="R53" s="4">
        <f t="shared" si="24"/>
        <v>0</v>
      </c>
      <c r="S53" s="263"/>
      <c r="T53" s="263"/>
      <c r="U53" s="263"/>
      <c r="V53" s="263"/>
      <c r="W53" s="4">
        <f t="shared" si="25"/>
        <v>0</v>
      </c>
      <c r="X53" s="263"/>
      <c r="Y53" s="263"/>
      <c r="Z53" s="263"/>
      <c r="AA53" s="263"/>
      <c r="AB53" s="4">
        <f t="shared" si="26"/>
        <v>0</v>
      </c>
      <c r="AC53" s="263"/>
      <c r="AD53" s="263"/>
      <c r="AE53" s="263"/>
      <c r="AF53" s="263"/>
      <c r="AH53" s="2" t="s">
        <v>274</v>
      </c>
      <c r="AI53" s="2">
        <v>4</v>
      </c>
      <c r="AJ53" s="278">
        <f>Stappen!AB86</f>
        <v>5</v>
      </c>
      <c r="AK53" s="4">
        <v>17.5</v>
      </c>
      <c r="AL53" s="4">
        <v>26.67</v>
      </c>
      <c r="AM53" s="4"/>
      <c r="AN53" s="4"/>
      <c r="AO53" s="4"/>
      <c r="AP53" s="267">
        <f t="shared" ref="AP53:AT55" si="32">$AP$115/$AK$115*AK53</f>
        <v>2.2639461245070085</v>
      </c>
      <c r="AQ53" s="267">
        <f t="shared" si="18"/>
        <v>3.4502538937486813</v>
      </c>
      <c r="AR53" s="4"/>
      <c r="AS53" s="4"/>
      <c r="AT53" s="4"/>
      <c r="AU53" s="267">
        <f t="shared" si="28"/>
        <v>5.9128840039278208</v>
      </c>
      <c r="AV53" s="267">
        <f t="shared" si="19"/>
        <v>9.0112352219860004</v>
      </c>
      <c r="AW53" s="4"/>
      <c r="AX53" s="4"/>
      <c r="AY53" s="4"/>
      <c r="AZ53" s="267">
        <f t="shared" si="29"/>
        <v>89.878273517261093</v>
      </c>
      <c r="BA53" s="267">
        <f t="shared" si="20"/>
        <v>136.97448884030592</v>
      </c>
      <c r="BB53" s="4"/>
      <c r="BC53" s="4"/>
      <c r="BD53" s="4"/>
      <c r="BE53" s="267">
        <f t="shared" si="30"/>
        <v>0.6172012112716555</v>
      </c>
      <c r="BF53" s="267">
        <f t="shared" si="21"/>
        <v>0.94061464597800315</v>
      </c>
      <c r="BG53" s="4"/>
      <c r="BH53" s="4"/>
      <c r="BI53" s="4"/>
      <c r="BJ53" s="267">
        <f t="shared" si="31"/>
        <v>2.1064614251488694</v>
      </c>
      <c r="BK53" s="267">
        <f t="shared" si="22"/>
        <v>3.2102472119268777</v>
      </c>
      <c r="BL53" s="4"/>
      <c r="BM53" s="4"/>
      <c r="BN53" s="4"/>
      <c r="BO53" s="4"/>
    </row>
    <row r="54" spans="2:67" x14ac:dyDescent="0.2">
      <c r="B54" s="263" t="s">
        <v>275</v>
      </c>
      <c r="C54" s="4">
        <f t="shared" si="16"/>
        <v>9.6</v>
      </c>
      <c r="D54" s="263"/>
      <c r="E54" s="263"/>
      <c r="F54" s="263"/>
      <c r="G54" s="263"/>
      <c r="H54" s="4">
        <f t="shared" si="17"/>
        <v>2.3110854313637992</v>
      </c>
      <c r="I54" s="263"/>
      <c r="J54" s="263"/>
      <c r="K54" s="263"/>
      <c r="L54" s="263"/>
      <c r="M54" s="4">
        <f t="shared" si="23"/>
        <v>6.1736183489789171</v>
      </c>
      <c r="N54" s="263"/>
      <c r="O54" s="263"/>
      <c r="P54" s="263"/>
      <c r="Q54" s="263"/>
      <c r="R54" s="4">
        <f t="shared" si="24"/>
        <v>95.44277856929196</v>
      </c>
      <c r="S54" s="263"/>
      <c r="T54" s="263"/>
      <c r="U54" s="263"/>
      <c r="V54" s="263"/>
      <c r="W54" s="4">
        <f t="shared" si="25"/>
        <v>0.58442221664400196</v>
      </c>
      <c r="X54" s="263"/>
      <c r="Y54" s="263"/>
      <c r="Z54" s="263"/>
      <c r="AA54" s="263"/>
      <c r="AB54" s="4">
        <f t="shared" si="26"/>
        <v>3.3215180349696563</v>
      </c>
      <c r="AC54" s="263"/>
      <c r="AD54" s="263"/>
      <c r="AE54" s="263"/>
      <c r="AF54" s="263"/>
      <c r="AH54" s="2" t="s">
        <v>275</v>
      </c>
      <c r="AI54" s="2">
        <v>5</v>
      </c>
      <c r="AJ54" s="278">
        <f>Stappen!AB87</f>
        <v>1</v>
      </c>
      <c r="AK54" s="4">
        <v>9.6</v>
      </c>
      <c r="AL54" s="4">
        <v>9.6</v>
      </c>
      <c r="AM54" s="4">
        <v>27.35</v>
      </c>
      <c r="AN54" s="4">
        <v>23.33</v>
      </c>
      <c r="AO54" s="4">
        <v>30.83</v>
      </c>
      <c r="AP54" s="369">
        <f>$AP$116/$AK$116*AK54</f>
        <v>2.3110854313637992</v>
      </c>
      <c r="AQ54" s="369">
        <f t="shared" ref="AQ54:AT54" si="33">$AP$116/$AK$116*AL54</f>
        <v>2.3110854313637992</v>
      </c>
      <c r="AR54" s="369">
        <f t="shared" si="33"/>
        <v>6.5841860987291581</v>
      </c>
      <c r="AS54" s="369">
        <f t="shared" si="33"/>
        <v>5.6164190743455666</v>
      </c>
      <c r="AT54" s="369">
        <f t="shared" si="33"/>
        <v>7.4219545675985348</v>
      </c>
      <c r="AU54" s="369">
        <f>$AU$116/$AP$116*AP54</f>
        <v>6.1736183489789171</v>
      </c>
      <c r="AV54" s="369">
        <f t="shared" ref="AV54:AY54" si="34">$AU$116/$AP$116*AQ54</f>
        <v>6.1736183489789171</v>
      </c>
      <c r="AW54" s="369">
        <f t="shared" si="34"/>
        <v>17.588381442143064</v>
      </c>
      <c r="AX54" s="369">
        <f t="shared" si="34"/>
        <v>15.00317875850814</v>
      </c>
      <c r="AY54" s="369">
        <f t="shared" si="34"/>
        <v>19.82631809364792</v>
      </c>
      <c r="AZ54" s="369">
        <f>$AZ$116/$AU$116*AU54</f>
        <v>95.44277856929196</v>
      </c>
      <c r="BA54" s="369">
        <f t="shared" ref="BA54:BD54" si="35">$AZ$116/$AU$116*AV54</f>
        <v>95.44277856929196</v>
      </c>
      <c r="BB54" s="369">
        <f t="shared" si="35"/>
        <v>271.91249936147244</v>
      </c>
      <c r="BC54" s="369">
        <f t="shared" si="35"/>
        <v>231.94583583558142</v>
      </c>
      <c r="BD54" s="369">
        <f t="shared" si="35"/>
        <v>306.51050659284078</v>
      </c>
      <c r="BE54" s="369">
        <f>$BE$116/$AZ$116*AZ54</f>
        <v>0.58442221664400196</v>
      </c>
      <c r="BF54" s="369">
        <f t="shared" ref="BF54:BI54" si="36">$BE$116/$AZ$116*BA54</f>
        <v>0.58442221664400196</v>
      </c>
      <c r="BG54" s="369">
        <f t="shared" si="36"/>
        <v>1.6649945442930683</v>
      </c>
      <c r="BH54" s="369">
        <f t="shared" si="36"/>
        <v>1.4202677410733924</v>
      </c>
      <c r="BI54" s="369">
        <f t="shared" si="36"/>
        <v>1.8768475978265189</v>
      </c>
      <c r="BJ54" s="369">
        <f>$BJ$116/$BE$116*BE54</f>
        <v>3.3215180349696563</v>
      </c>
      <c r="BK54" s="369">
        <f t="shared" ref="BK54:BN54" si="37">$BJ$116/$BE$116*BF54</f>
        <v>3.3215180349696563</v>
      </c>
      <c r="BL54" s="369">
        <f t="shared" si="37"/>
        <v>9.4628664850437616</v>
      </c>
      <c r="BM54" s="369">
        <f t="shared" si="37"/>
        <v>8.0719808079002178</v>
      </c>
      <c r="BN54" s="369">
        <f t="shared" si="37"/>
        <v>10.66691677272026</v>
      </c>
      <c r="BO54" s="4"/>
    </row>
    <row r="55" spans="2:67" x14ac:dyDescent="0.2">
      <c r="B55" s="263" t="s">
        <v>276</v>
      </c>
      <c r="C55" s="4">
        <f t="shared" si="16"/>
        <v>0</v>
      </c>
      <c r="D55" s="263"/>
      <c r="E55" s="263"/>
      <c r="F55" s="263"/>
      <c r="G55" s="263"/>
      <c r="H55" s="4">
        <f t="shared" si="17"/>
        <v>0</v>
      </c>
      <c r="I55" s="263"/>
      <c r="J55" s="263"/>
      <c r="K55" s="263"/>
      <c r="L55" s="263"/>
      <c r="M55" s="4">
        <f t="shared" si="23"/>
        <v>0</v>
      </c>
      <c r="N55" s="263"/>
      <c r="O55" s="263"/>
      <c r="P55" s="263"/>
      <c r="Q55" s="263"/>
      <c r="R55" s="4">
        <f t="shared" si="24"/>
        <v>0</v>
      </c>
      <c r="S55" s="263"/>
      <c r="T55" s="263"/>
      <c r="U55" s="263"/>
      <c r="V55" s="263"/>
      <c r="W55" s="4">
        <f t="shared" si="25"/>
        <v>0</v>
      </c>
      <c r="X55" s="263"/>
      <c r="Y55" s="263"/>
      <c r="Z55" s="263"/>
      <c r="AA55" s="263"/>
      <c r="AB55" s="4">
        <f t="shared" si="26"/>
        <v>0</v>
      </c>
      <c r="AC55" s="263"/>
      <c r="AD55" s="263"/>
      <c r="AE55" s="263"/>
      <c r="AF55" s="263"/>
      <c r="AH55" s="2" t="s">
        <v>276</v>
      </c>
      <c r="AI55" s="2">
        <v>6</v>
      </c>
      <c r="AJ55" s="278">
        <f>Stappen!AB88</f>
        <v>1</v>
      </c>
      <c r="AK55" s="4">
        <v>0</v>
      </c>
      <c r="AL55" s="4">
        <v>0</v>
      </c>
      <c r="AM55" s="4">
        <f>61740/(5*5)/150</f>
        <v>16.463999999999999</v>
      </c>
      <c r="AN55" s="4"/>
      <c r="AO55" s="4">
        <f>300*3/398</f>
        <v>2.2613065326633164</v>
      </c>
      <c r="AP55" s="267">
        <f t="shared" ref="AP55:AP56" si="38">$AP$115/$AK$115*AK55</f>
        <v>0</v>
      </c>
      <c r="AQ55" s="267">
        <f t="shared" ref="AQ55" si="39">$AP$115/$AK$115*AL55</f>
        <v>0</v>
      </c>
      <c r="AR55" s="267">
        <f t="shared" si="32"/>
        <v>2.1299205139361934</v>
      </c>
      <c r="AS55" s="4"/>
      <c r="AT55" s="267">
        <f t="shared" si="32"/>
        <v>0.29254149491117121</v>
      </c>
      <c r="AU55" s="267">
        <f t="shared" ref="AU55:AW55" si="40">$AU$115/$AP$115*AP55</f>
        <v>0</v>
      </c>
      <c r="AV55" s="267">
        <f t="shared" si="40"/>
        <v>0</v>
      </c>
      <c r="AW55" s="267">
        <f t="shared" si="40"/>
        <v>5.5628412708952935</v>
      </c>
      <c r="AX55" s="4"/>
      <c r="AY55" s="267">
        <f>$AU$115/$AP$115*AT55</f>
        <v>0.76404818428356613</v>
      </c>
      <c r="AZ55" s="267">
        <f t="shared" ref="AZ55:BB55" si="41">$AZ$115/$AU$115*AU55</f>
        <v>0</v>
      </c>
      <c r="BA55" s="267">
        <f t="shared" si="41"/>
        <v>0</v>
      </c>
      <c r="BB55" s="267">
        <f t="shared" si="41"/>
        <v>84.557479725039229</v>
      </c>
      <c r="BC55" s="4"/>
      <c r="BD55" s="267">
        <f>$AZ$115/$AU$115*AY55</f>
        <v>11.61384725994759</v>
      </c>
      <c r="BE55" s="267">
        <f t="shared" ref="BE55:BG55" si="42">$BE$115/$AZ$115*AZ55</f>
        <v>0</v>
      </c>
      <c r="BF55" s="267">
        <f t="shared" si="42"/>
        <v>0</v>
      </c>
      <c r="BG55" s="267">
        <f t="shared" si="42"/>
        <v>0.58066289956437345</v>
      </c>
      <c r="BH55" s="4"/>
      <c r="BI55" s="267">
        <f>$BE$115/$AZ$115*BD55</f>
        <v>7.9753207486646063E-2</v>
      </c>
      <c r="BJ55" s="267">
        <f t="shared" ref="BJ55:BL55" si="43">$BJ$115/$BE$115*BE55</f>
        <v>0</v>
      </c>
      <c r="BK55" s="267">
        <f t="shared" si="43"/>
        <v>0</v>
      </c>
      <c r="BL55" s="267">
        <f t="shared" si="43"/>
        <v>1.9817589087800562</v>
      </c>
      <c r="BM55" s="4"/>
      <c r="BN55" s="267">
        <f>$BJ$115/$BE$115*BI55</f>
        <v>0.27219171322813812</v>
      </c>
      <c r="BO55" s="4" t="s">
        <v>490</v>
      </c>
    </row>
    <row r="56" spans="2:67" x14ac:dyDescent="0.2">
      <c r="B56" s="263" t="s">
        <v>277</v>
      </c>
      <c r="C56" s="4">
        <f t="shared" si="16"/>
        <v>0</v>
      </c>
      <c r="D56" s="263"/>
      <c r="E56" s="263"/>
      <c r="F56" s="263"/>
      <c r="G56" s="263"/>
      <c r="H56" s="4">
        <f t="shared" si="17"/>
        <v>0</v>
      </c>
      <c r="I56" s="263"/>
      <c r="J56" s="263"/>
      <c r="K56" s="263"/>
      <c r="L56" s="263"/>
      <c r="M56" s="4">
        <f t="shared" si="23"/>
        <v>0</v>
      </c>
      <c r="N56" s="263"/>
      <c r="O56" s="263"/>
      <c r="P56" s="263"/>
      <c r="Q56" s="263"/>
      <c r="R56" s="4">
        <f t="shared" si="24"/>
        <v>0</v>
      </c>
      <c r="S56" s="263"/>
      <c r="T56" s="263"/>
      <c r="U56" s="263"/>
      <c r="V56" s="263"/>
      <c r="W56" s="4">
        <f t="shared" si="25"/>
        <v>0</v>
      </c>
      <c r="X56" s="263"/>
      <c r="Y56" s="263"/>
      <c r="Z56" s="263"/>
      <c r="AA56" s="263"/>
      <c r="AB56" s="4">
        <f t="shared" si="26"/>
        <v>0</v>
      </c>
      <c r="AC56" s="263"/>
      <c r="AD56" s="263"/>
      <c r="AE56" s="263"/>
      <c r="AF56" s="263"/>
      <c r="AH56" s="2" t="s">
        <v>277</v>
      </c>
      <c r="AI56" s="2">
        <v>7</v>
      </c>
      <c r="AJ56" s="278">
        <f>Stappen!AB89</f>
        <v>2</v>
      </c>
      <c r="AK56" s="4">
        <f>265/75</f>
        <v>3.5333333333333332</v>
      </c>
      <c r="AL56" s="4"/>
      <c r="AM56" s="4"/>
      <c r="AN56" s="4"/>
      <c r="AO56" s="4"/>
      <c r="AP56" s="267">
        <f t="shared" si="38"/>
        <v>0.457101503233796</v>
      </c>
      <c r="AQ56" s="4"/>
      <c r="AR56" s="4"/>
      <c r="AS56" s="4"/>
      <c r="AT56" s="4"/>
      <c r="AU56" s="267">
        <f>$AU$115/$AP$115*AP56</f>
        <v>1.1938394369835219</v>
      </c>
      <c r="AV56" s="4"/>
      <c r="AW56" s="4"/>
      <c r="AX56" s="4"/>
      <c r="AY56" s="4"/>
      <c r="AZ56" s="267">
        <f>$AZ$115/$AU$115*AU56</f>
        <v>18.146851414913666</v>
      </c>
      <c r="BA56" s="4"/>
      <c r="BB56" s="4"/>
      <c r="BC56" s="4"/>
      <c r="BD56" s="4"/>
      <c r="BE56" s="267">
        <f>$BE$115/$AZ$115*AZ56</f>
        <v>0.12461586360913424</v>
      </c>
      <c r="BF56" s="4"/>
      <c r="BG56" s="4"/>
      <c r="BH56" s="4"/>
      <c r="BI56" s="4"/>
      <c r="BJ56" s="267">
        <f>$BJ$115/$BE$115*BE56</f>
        <v>0.42530459250624786</v>
      </c>
      <c r="BK56" s="4"/>
      <c r="BL56" s="4"/>
      <c r="BM56" s="4"/>
      <c r="BN56" s="4"/>
      <c r="BO56" s="4"/>
    </row>
    <row r="57" spans="2:67" x14ac:dyDescent="0.2">
      <c r="B57" s="263" t="s">
        <v>17</v>
      </c>
      <c r="C57" s="4">
        <f>HLOOKUP($AJ57,$AK$50:$AO$57,$AI57,FALSE)</f>
        <v>0</v>
      </c>
      <c r="D57" s="263"/>
      <c r="E57" s="263"/>
      <c r="F57" s="263"/>
      <c r="G57" s="263"/>
      <c r="H57" s="4">
        <f>HLOOKUP($AJ57,$AP$50:$AT$57,$AI57,FALSE)</f>
        <v>0</v>
      </c>
      <c r="I57" s="263"/>
      <c r="J57" s="263"/>
      <c r="K57" s="263"/>
      <c r="L57" s="263"/>
      <c r="M57" s="4">
        <f>HLOOKUP($AJ57,$AU$50:$AY$57,$AI57,FALSE)</f>
        <v>0</v>
      </c>
      <c r="N57" s="263"/>
      <c r="O57" s="263"/>
      <c r="P57" s="263"/>
      <c r="Q57" s="263"/>
      <c r="R57" s="4">
        <f>HLOOKUP($AJ57,$AZ$50:$BD$57,$AI57,FALSE)</f>
        <v>0</v>
      </c>
      <c r="S57" s="263"/>
      <c r="T57" s="263"/>
      <c r="U57" s="263"/>
      <c r="V57" s="263"/>
      <c r="W57" s="4">
        <f>HLOOKUP($AJ57,$BE$50:$BI$57,$AI57,FALSE)</f>
        <v>0</v>
      </c>
      <c r="X57" s="263"/>
      <c r="Y57" s="263"/>
      <c r="Z57" s="263"/>
      <c r="AA57" s="263"/>
      <c r="AB57" s="4">
        <f>HLOOKUP($AJ57,$BJ$50:$BN$57,$AI57,FALSE)</f>
        <v>0</v>
      </c>
      <c r="AC57" s="263"/>
      <c r="AD57" s="263"/>
      <c r="AE57" s="263"/>
      <c r="AF57" s="263"/>
      <c r="AH57" s="2" t="s">
        <v>17</v>
      </c>
      <c r="AI57" s="2">
        <v>8</v>
      </c>
      <c r="AJ57" s="278">
        <f>Stappen!AB87</f>
        <v>1</v>
      </c>
      <c r="AK57" s="4">
        <v>0</v>
      </c>
      <c r="AL57" s="4">
        <v>0</v>
      </c>
      <c r="AM57" s="4">
        <v>6.5</v>
      </c>
      <c r="AN57" s="4">
        <v>6.5</v>
      </c>
      <c r="AO57" s="4">
        <v>11</v>
      </c>
      <c r="AP57" s="370">
        <f>$AP$123/$AK$123*AK57</f>
        <v>0</v>
      </c>
      <c r="AQ57" s="370">
        <f t="shared" ref="AQ57:AT57" si="44">$AP$123/$AK$123*AL57</f>
        <v>0</v>
      </c>
      <c r="AR57" s="370">
        <f t="shared" si="44"/>
        <v>1.1051122348282276</v>
      </c>
      <c r="AS57" s="370">
        <f t="shared" si="44"/>
        <v>1.1051122348282276</v>
      </c>
      <c r="AT57" s="370">
        <f t="shared" si="44"/>
        <v>1.8701899358631544</v>
      </c>
      <c r="AU57" s="370">
        <f>$AU$123/$AP$123*AP57</f>
        <v>0</v>
      </c>
      <c r="AV57" s="370">
        <f t="shared" ref="AV57:AY57" si="45">$AU$123/$AP$123*AQ57</f>
        <v>0</v>
      </c>
      <c r="AW57" s="370">
        <f t="shared" si="45"/>
        <v>3.7362173162279571</v>
      </c>
      <c r="AX57" s="370">
        <f t="shared" si="45"/>
        <v>3.7362173162279571</v>
      </c>
      <c r="AY57" s="370">
        <f t="shared" si="45"/>
        <v>6.3228293043857731</v>
      </c>
      <c r="AZ57" s="370">
        <f>$AZ$123/$AU$123*AU57</f>
        <v>0</v>
      </c>
      <c r="BA57" s="370">
        <f t="shared" ref="BA57:BD57" si="46">$AZ$123/$AU$123*AV57</f>
        <v>0</v>
      </c>
      <c r="BB57" s="370">
        <f t="shared" si="46"/>
        <v>62.289128021641169</v>
      </c>
      <c r="BC57" s="370">
        <f t="shared" si="46"/>
        <v>62.289128021641169</v>
      </c>
      <c r="BD57" s="370">
        <f t="shared" si="46"/>
        <v>105.41237049816196</v>
      </c>
      <c r="BE57" s="370">
        <f>$BE$123/$AZ$123*AZ57</f>
        <v>0</v>
      </c>
      <c r="BF57" s="370">
        <f t="shared" ref="BF57:BI57" si="47">$BE$123/$AZ$123*BA57</f>
        <v>0</v>
      </c>
      <c r="BG57" s="370">
        <f t="shared" si="47"/>
        <v>0.3956277750360831</v>
      </c>
      <c r="BH57" s="370">
        <f t="shared" si="47"/>
        <v>0.3956277750360831</v>
      </c>
      <c r="BI57" s="370">
        <f t="shared" si="47"/>
        <v>0.66952392698414054</v>
      </c>
      <c r="BJ57" s="370">
        <f>$BJ$123/$BE$123*BE57</f>
        <v>0</v>
      </c>
      <c r="BK57" s="370">
        <f t="shared" ref="BK57:BN57" si="48">$BJ$123/$BE$123*BF57</f>
        <v>0</v>
      </c>
      <c r="BL57" s="370">
        <f t="shared" si="48"/>
        <v>0.84176122348225979</v>
      </c>
      <c r="BM57" s="370">
        <f t="shared" si="48"/>
        <v>0.84176122348225979</v>
      </c>
      <c r="BN57" s="370">
        <f t="shared" si="48"/>
        <v>1.4245189935853626</v>
      </c>
      <c r="BO57" s="4"/>
    </row>
    <row r="58" spans="2:67" x14ac:dyDescent="0.2">
      <c r="AJ58" s="4"/>
      <c r="AK58" s="4"/>
      <c r="AL58" s="4"/>
      <c r="AM58" s="4"/>
      <c r="AN58" s="4"/>
      <c r="AO58" s="4"/>
      <c r="AP58" s="4"/>
      <c r="AQ58" s="4"/>
      <c r="AR58" s="4"/>
      <c r="AS58" s="4"/>
    </row>
    <row r="59" spans="2:67" ht="15" x14ac:dyDescent="0.25">
      <c r="B59" s="2" t="s">
        <v>493</v>
      </c>
      <c r="AJ59" s="4"/>
      <c r="AK59" s="44" t="s">
        <v>146</v>
      </c>
      <c r="AL59" s="44"/>
      <c r="AM59" s="38"/>
      <c r="AN59" s="38"/>
      <c r="AO59" s="368"/>
      <c r="AP59" s="45" t="s">
        <v>147</v>
      </c>
      <c r="AQ59" s="45"/>
      <c r="AR59" s="43"/>
      <c r="AS59" s="43"/>
      <c r="AT59" s="365"/>
      <c r="AU59" s="303" t="s">
        <v>539</v>
      </c>
      <c r="AV59" s="303"/>
      <c r="AW59" s="304"/>
      <c r="AX59" s="304"/>
      <c r="AY59" s="367"/>
      <c r="AZ59" s="322" t="s">
        <v>28</v>
      </c>
      <c r="BA59" s="322"/>
      <c r="BB59" s="323"/>
      <c r="BC59" s="323"/>
      <c r="BD59" s="324"/>
      <c r="BE59" s="366" t="s">
        <v>540</v>
      </c>
      <c r="BF59" s="365"/>
      <c r="BG59" s="365"/>
      <c r="BH59" s="365"/>
      <c r="BI59" s="365"/>
      <c r="BJ59" s="303" t="str">
        <f>BJ15</f>
        <v>schaduwprijzen kantoren</v>
      </c>
      <c r="BK59" s="303"/>
      <c r="BL59" s="304"/>
      <c r="BM59" s="304"/>
      <c r="BN59" s="367"/>
    </row>
    <row r="60" spans="2:67" x14ac:dyDescent="0.2">
      <c r="B60" s="2" t="s">
        <v>492</v>
      </c>
      <c r="AH60" s="2" t="s">
        <v>493</v>
      </c>
      <c r="AI60" s="2">
        <v>1</v>
      </c>
      <c r="AJ60" s="4"/>
      <c r="AK60" s="344">
        <v>1</v>
      </c>
      <c r="AL60" s="38">
        <v>2</v>
      </c>
      <c r="AM60" s="38">
        <v>3</v>
      </c>
      <c r="AN60" s="38">
        <v>4</v>
      </c>
      <c r="AO60" s="38">
        <v>5</v>
      </c>
      <c r="AP60" s="45">
        <v>1</v>
      </c>
      <c r="AQ60" s="43">
        <v>2</v>
      </c>
      <c r="AR60" s="43">
        <v>3</v>
      </c>
      <c r="AS60" s="43">
        <v>4</v>
      </c>
      <c r="AT60" s="43">
        <v>5</v>
      </c>
      <c r="AU60" s="303">
        <v>1</v>
      </c>
      <c r="AV60" s="304">
        <v>2</v>
      </c>
      <c r="AW60" s="304">
        <v>3</v>
      </c>
      <c r="AX60" s="304">
        <v>4</v>
      </c>
      <c r="AY60" s="304">
        <v>5</v>
      </c>
      <c r="AZ60" s="322">
        <v>1</v>
      </c>
      <c r="BA60" s="323">
        <v>2</v>
      </c>
      <c r="BB60" s="323">
        <v>3</v>
      </c>
      <c r="BC60" s="323">
        <v>4</v>
      </c>
      <c r="BD60" s="323">
        <v>5</v>
      </c>
      <c r="BE60" s="45">
        <v>1</v>
      </c>
      <c r="BF60" s="43">
        <v>2</v>
      </c>
      <c r="BG60" s="43">
        <v>3</v>
      </c>
      <c r="BH60" s="43">
        <v>4</v>
      </c>
      <c r="BI60" s="43">
        <v>5</v>
      </c>
      <c r="BJ60" s="303">
        <v>1</v>
      </c>
      <c r="BK60" s="304">
        <v>2</v>
      </c>
      <c r="BL60" s="304">
        <v>3</v>
      </c>
      <c r="BM60" s="304">
        <v>4</v>
      </c>
      <c r="BN60" s="304">
        <v>5</v>
      </c>
    </row>
    <row r="61" spans="2:67" x14ac:dyDescent="0.2">
      <c r="B61" s="263" t="s">
        <v>272</v>
      </c>
      <c r="C61" s="4">
        <f>HLOOKUP($AJ61,$AK$60:$AO$67,$AI61,FALSE)</f>
        <v>25.78</v>
      </c>
      <c r="D61" s="263"/>
      <c r="E61" s="263"/>
      <c r="F61" s="263"/>
      <c r="G61" s="263"/>
      <c r="H61" s="4">
        <f>HLOOKUP($AJ61,$AP$60:$AT$67,$AI61,FALSE)</f>
        <v>3.335116062273753</v>
      </c>
      <c r="I61" s="263"/>
      <c r="J61" s="263"/>
      <c r="K61" s="263"/>
      <c r="L61" s="263"/>
      <c r="M61" s="4">
        <f>HLOOKUP($AJ61,$AU$60:$AY$67,$AI61,FALSE)</f>
        <v>8.7105228355005266</v>
      </c>
      <c r="N61" s="263"/>
      <c r="O61" s="263"/>
      <c r="P61" s="263"/>
      <c r="Q61" s="263"/>
      <c r="R61" s="4">
        <f>HLOOKUP($AJ61,$AZ$60:$BD$67,$AI61,FALSE)</f>
        <v>132.4035366442852</v>
      </c>
      <c r="S61" s="263"/>
      <c r="T61" s="263"/>
      <c r="U61" s="263"/>
      <c r="V61" s="263"/>
      <c r="W61" s="4">
        <f>HLOOKUP($AJ61,$BE$60:$BI$67,$AI61,FALSE)</f>
        <v>0.90922555580475872</v>
      </c>
      <c r="X61" s="263"/>
      <c r="Y61" s="263"/>
      <c r="Z61" s="263"/>
      <c r="AA61" s="263"/>
      <c r="AB61" s="4">
        <f>HLOOKUP($AJ61,$BJ$60:$BN$67,$AI61,FALSE)</f>
        <v>3.1031186023050199</v>
      </c>
      <c r="AC61" s="263"/>
      <c r="AD61" s="263"/>
      <c r="AE61" s="263"/>
      <c r="AF61" s="263"/>
      <c r="AH61" s="2" t="s">
        <v>272</v>
      </c>
      <c r="AI61" s="2">
        <v>2</v>
      </c>
      <c r="AJ61" s="278">
        <f>Referentieproject!AB84</f>
        <v>1</v>
      </c>
      <c r="AK61" s="4">
        <f>AK51</f>
        <v>25.78</v>
      </c>
      <c r="AL61" s="4">
        <f t="shared" ref="AL61:AO63" si="49">AL51</f>
        <v>16.670000000000002</v>
      </c>
      <c r="AM61" s="4">
        <f t="shared" si="49"/>
        <v>48.13</v>
      </c>
      <c r="AN61" s="4">
        <f t="shared" si="49"/>
        <v>28.93</v>
      </c>
      <c r="AO61" s="4">
        <f t="shared" si="49"/>
        <v>35.33</v>
      </c>
      <c r="AP61" s="4">
        <f>AP51</f>
        <v>3.335116062273753</v>
      </c>
      <c r="AQ61" s="4">
        <f t="shared" ref="AQ61:AT61" si="50">AQ51</f>
        <v>2.1565703940303904</v>
      </c>
      <c r="AR61" s="4">
        <f t="shared" si="50"/>
        <v>6.2264986841441328</v>
      </c>
      <c r="AS61" s="4">
        <f t="shared" si="50"/>
        <v>3.7426263646850146</v>
      </c>
      <c r="AT61" s="4">
        <f t="shared" si="50"/>
        <v>4.5705838045047207</v>
      </c>
      <c r="AU61" s="4">
        <f>AU51</f>
        <v>8.7105228355005266</v>
      </c>
      <c r="AV61" s="4">
        <f t="shared" ref="AV61:AY61" si="51">AV51</f>
        <v>5.6324443625986724</v>
      </c>
      <c r="AW61" s="4">
        <f t="shared" si="51"/>
        <v>16.262120406231201</v>
      </c>
      <c r="AX61" s="4">
        <f t="shared" si="51"/>
        <v>9.7748419562075348</v>
      </c>
      <c r="AY61" s="4">
        <f t="shared" si="51"/>
        <v>11.937268106215424</v>
      </c>
      <c r="AZ61" s="4">
        <f>AZ51</f>
        <v>132.4035366442852</v>
      </c>
      <c r="BA61" s="4">
        <f t="shared" ref="BA61:BD61" si="52">BA51</f>
        <v>85.615475401870981</v>
      </c>
      <c r="BB61" s="4">
        <f t="shared" si="52"/>
        <v>247.1909316791872</v>
      </c>
      <c r="BC61" s="4">
        <f t="shared" si="52"/>
        <v>148.58162587739218</v>
      </c>
      <c r="BD61" s="4">
        <f t="shared" si="52"/>
        <v>181.45139447799053</v>
      </c>
      <c r="BE61" s="4">
        <f>BE51</f>
        <v>0.90922555580475872</v>
      </c>
      <c r="BF61" s="4">
        <f t="shared" ref="BF61:BI61" si="53">BF51</f>
        <v>0.58792823953705686</v>
      </c>
      <c r="BG61" s="4">
        <f t="shared" si="53"/>
        <v>1.6974796742002729</v>
      </c>
      <c r="BH61" s="4">
        <f t="shared" si="53"/>
        <v>1.0203217738336567</v>
      </c>
      <c r="BI61" s="4">
        <f t="shared" si="53"/>
        <v>1.2460410739558623</v>
      </c>
      <c r="BJ61" s="4">
        <f>BJ51</f>
        <v>3.1031186023050199</v>
      </c>
      <c r="BK61" s="4">
        <f t="shared" ref="BK61:BN61" si="54">BK51</f>
        <v>2.0065549689846653</v>
      </c>
      <c r="BL61" s="4">
        <f t="shared" si="54"/>
        <v>5.7933707652808613</v>
      </c>
      <c r="BM61" s="4">
        <f t="shared" si="54"/>
        <v>3.4822816588318166</v>
      </c>
      <c r="BN61" s="4">
        <f t="shared" si="54"/>
        <v>4.2526446943148324</v>
      </c>
      <c r="BO61" s="4" t="s">
        <v>537</v>
      </c>
    </row>
    <row r="62" spans="2:67" x14ac:dyDescent="0.2">
      <c r="B62" s="263" t="s">
        <v>273</v>
      </c>
      <c r="C62" s="4">
        <f t="shared" ref="C62:C67" si="55">HLOOKUP($AJ62,$AK$60:$AO$67,$AI62,FALSE)</f>
        <v>24.5</v>
      </c>
      <c r="D62" s="263"/>
      <c r="E62" s="263"/>
      <c r="F62" s="263"/>
      <c r="G62" s="263"/>
      <c r="H62" s="4">
        <f t="shared" ref="H62:H67" si="56">HLOOKUP($AJ62,$AP$60:$AT$67,$AI62,FALSE)</f>
        <v>3.1695245743098117</v>
      </c>
      <c r="I62" s="263"/>
      <c r="J62" s="263"/>
      <c r="K62" s="263"/>
      <c r="L62" s="263"/>
      <c r="M62" s="4">
        <f t="shared" ref="M62:M67" si="57">HLOOKUP($AJ62,$AU$60:$AY$67,$AI62,FALSE)</f>
        <v>8.2780376054989482</v>
      </c>
      <c r="N62" s="263"/>
      <c r="O62" s="263"/>
      <c r="P62" s="263"/>
      <c r="Q62" s="263"/>
      <c r="R62" s="4">
        <f t="shared" ref="R62:R67" si="58">HLOOKUP($AJ62,$AZ$60:$BD$67,$AI62,FALSE)</f>
        <v>125.82958292416551</v>
      </c>
      <c r="S62" s="263"/>
      <c r="T62" s="263"/>
      <c r="U62" s="263"/>
      <c r="V62" s="263"/>
      <c r="W62" s="4">
        <f t="shared" ref="W62:W67" si="59">HLOOKUP($AJ62,$BE$60:$BI$67,$AI62,FALSE)</f>
        <v>0.86408169578031757</v>
      </c>
      <c r="X62" s="263"/>
      <c r="Y62" s="263"/>
      <c r="Z62" s="263"/>
      <c r="AA62" s="263"/>
      <c r="AB62" s="4">
        <f t="shared" ref="AB62:AB67" si="60">HLOOKUP($AJ62,$BJ$60:$BN$67,$AI62,FALSE)</f>
        <v>2.9490459952084169</v>
      </c>
      <c r="AC62" s="263"/>
      <c r="AD62" s="263"/>
      <c r="AE62" s="263"/>
      <c r="AF62" s="263"/>
      <c r="AH62" s="2" t="s">
        <v>273</v>
      </c>
      <c r="AI62" s="2">
        <v>3</v>
      </c>
      <c r="AJ62" s="278">
        <f>Referentieproject!AB85</f>
        <v>1</v>
      </c>
      <c r="AK62" s="4">
        <f>AK52</f>
        <v>24.5</v>
      </c>
      <c r="AL62" s="4">
        <f t="shared" si="49"/>
        <v>38.33</v>
      </c>
      <c r="AM62" s="4">
        <f t="shared" si="49"/>
        <v>3.33</v>
      </c>
      <c r="AN62" s="4"/>
      <c r="AO62" s="4"/>
      <c r="AP62" s="4">
        <f>AP52</f>
        <v>3.1695245743098117</v>
      </c>
      <c r="AQ62" s="4">
        <f t="shared" ref="AQ62:AR62" si="61">AQ52</f>
        <v>4.9586888544202079</v>
      </c>
      <c r="AR62" s="4">
        <f t="shared" si="61"/>
        <v>0.43079660540619075</v>
      </c>
      <c r="AS62" s="4"/>
      <c r="AT62" s="4"/>
      <c r="AU62" s="4">
        <f>AU52</f>
        <v>8.2780376054989482</v>
      </c>
      <c r="AV62" s="4">
        <f t="shared" ref="AV62:AW62" si="62">AV52</f>
        <v>12.950905364031621</v>
      </c>
      <c r="AW62" s="4">
        <f t="shared" si="62"/>
        <v>1.1251373561759797</v>
      </c>
      <c r="AX62" s="4"/>
      <c r="AY62" s="4"/>
      <c r="AZ62" s="4">
        <f>AZ52</f>
        <v>125.82958292416551</v>
      </c>
      <c r="BA62" s="4">
        <f t="shared" ref="BA62:BB62" si="63">BA52</f>
        <v>196.859098509521</v>
      </c>
      <c r="BB62" s="4">
        <f t="shared" si="63"/>
        <v>17.102551474998826</v>
      </c>
      <c r="BC62" s="4"/>
      <c r="BD62" s="4"/>
      <c r="BE62" s="4">
        <f>BE52</f>
        <v>0.86408169578031757</v>
      </c>
      <c r="BF62" s="4">
        <f t="shared" ref="BF62:BG62" si="64">BF52</f>
        <v>1.3518469958881461</v>
      </c>
      <c r="BG62" s="4">
        <f t="shared" si="64"/>
        <v>0.11744457334483502</v>
      </c>
      <c r="BH62" s="4"/>
      <c r="BI62" s="4"/>
      <c r="BJ62" s="4">
        <f>BJ52</f>
        <v>2.9490459952084169</v>
      </c>
      <c r="BK62" s="4">
        <f t="shared" ref="BK62:BL62" si="65">BK52</f>
        <v>4.6137523671974954</v>
      </c>
      <c r="BL62" s="4">
        <f t="shared" si="65"/>
        <v>0.40082951689975632</v>
      </c>
      <c r="BM62" s="4"/>
      <c r="BN62" s="4"/>
      <c r="BO62" s="4"/>
    </row>
    <row r="63" spans="2:67" x14ac:dyDescent="0.2">
      <c r="B63" s="263" t="s">
        <v>274</v>
      </c>
      <c r="C63" s="4">
        <f t="shared" si="55"/>
        <v>0</v>
      </c>
      <c r="D63" s="263"/>
      <c r="E63" s="263"/>
      <c r="F63" s="263"/>
      <c r="G63" s="263"/>
      <c r="H63" s="4">
        <f t="shared" si="56"/>
        <v>0</v>
      </c>
      <c r="I63" s="263"/>
      <c r="J63" s="263"/>
      <c r="K63" s="263"/>
      <c r="L63" s="263"/>
      <c r="M63" s="4">
        <f t="shared" si="57"/>
        <v>0</v>
      </c>
      <c r="N63" s="263"/>
      <c r="O63" s="263"/>
      <c r="P63" s="263"/>
      <c r="Q63" s="263"/>
      <c r="R63" s="4">
        <f t="shared" si="58"/>
        <v>0</v>
      </c>
      <c r="S63" s="263"/>
      <c r="T63" s="263"/>
      <c r="U63" s="263"/>
      <c r="V63" s="263"/>
      <c r="W63" s="4">
        <f t="shared" si="59"/>
        <v>0</v>
      </c>
      <c r="X63" s="263"/>
      <c r="Y63" s="263"/>
      <c r="Z63" s="263"/>
      <c r="AA63" s="263"/>
      <c r="AB63" s="4">
        <f t="shared" si="60"/>
        <v>0</v>
      </c>
      <c r="AC63" s="263"/>
      <c r="AD63" s="263"/>
      <c r="AE63" s="263"/>
      <c r="AF63" s="263"/>
      <c r="AH63" s="2" t="s">
        <v>274</v>
      </c>
      <c r="AI63" s="2">
        <v>4</v>
      </c>
      <c r="AJ63" s="278">
        <f>Referentieproject!AB86</f>
        <v>5</v>
      </c>
      <c r="AK63" s="4">
        <f>AK53</f>
        <v>17.5</v>
      </c>
      <c r="AL63" s="4">
        <f t="shared" si="49"/>
        <v>26.67</v>
      </c>
      <c r="AM63" s="4"/>
      <c r="AN63" s="4"/>
      <c r="AO63" s="4"/>
      <c r="AP63" s="4">
        <f>AP53</f>
        <v>2.2639461245070085</v>
      </c>
      <c r="AQ63" s="4">
        <f t="shared" ref="AQ63" si="66">AQ53</f>
        <v>3.4502538937486813</v>
      </c>
      <c r="AR63" s="4"/>
      <c r="AS63" s="4"/>
      <c r="AT63" s="4"/>
      <c r="AU63" s="4">
        <f>AU53</f>
        <v>5.9128840039278208</v>
      </c>
      <c r="AV63" s="4">
        <f t="shared" ref="AV63" si="67">AV53</f>
        <v>9.0112352219860004</v>
      </c>
      <c r="AW63" s="4"/>
      <c r="AX63" s="4"/>
      <c r="AY63" s="4"/>
      <c r="AZ63" s="4">
        <f>AZ53</f>
        <v>89.878273517261093</v>
      </c>
      <c r="BA63" s="4">
        <f t="shared" ref="BA63" si="68">BA53</f>
        <v>136.97448884030592</v>
      </c>
      <c r="BB63" s="4"/>
      <c r="BC63" s="4"/>
      <c r="BD63" s="4"/>
      <c r="BE63" s="4">
        <f>BE53</f>
        <v>0.6172012112716555</v>
      </c>
      <c r="BF63" s="4">
        <f t="shared" ref="BF63" si="69">BF53</f>
        <v>0.94061464597800315</v>
      </c>
      <c r="BG63" s="4"/>
      <c r="BH63" s="4"/>
      <c r="BI63" s="4"/>
      <c r="BJ63" s="4">
        <f>BJ53</f>
        <v>2.1064614251488694</v>
      </c>
      <c r="BK63" s="4">
        <f t="shared" ref="BK63" si="70">BK53</f>
        <v>3.2102472119268777</v>
      </c>
      <c r="BL63" s="4"/>
      <c r="BM63" s="4"/>
      <c r="BN63" s="4"/>
      <c r="BO63" s="4"/>
    </row>
    <row r="64" spans="2:67" x14ac:dyDescent="0.2">
      <c r="B64" s="263" t="s">
        <v>275</v>
      </c>
      <c r="C64" s="4">
        <f t="shared" si="55"/>
        <v>9.6</v>
      </c>
      <c r="D64" s="263"/>
      <c r="E64" s="263"/>
      <c r="F64" s="263"/>
      <c r="G64" s="263"/>
      <c r="H64" s="4">
        <f t="shared" si="56"/>
        <v>2.3110854313637992</v>
      </c>
      <c r="I64" s="263"/>
      <c r="J64" s="263"/>
      <c r="K64" s="263"/>
      <c r="L64" s="263"/>
      <c r="M64" s="4">
        <f t="shared" si="57"/>
        <v>6.1736183489789171</v>
      </c>
      <c r="N64" s="263"/>
      <c r="O64" s="263"/>
      <c r="P64" s="263"/>
      <c r="Q64" s="263"/>
      <c r="R64" s="4">
        <f t="shared" si="58"/>
        <v>95.44277856929196</v>
      </c>
      <c r="S64" s="263"/>
      <c r="T64" s="263"/>
      <c r="U64" s="263"/>
      <c r="V64" s="263"/>
      <c r="W64" s="4">
        <f t="shared" si="59"/>
        <v>0.58442221664400196</v>
      </c>
      <c r="X64" s="263"/>
      <c r="Y64" s="263"/>
      <c r="Z64" s="263"/>
      <c r="AA64" s="263"/>
      <c r="AB64" s="4">
        <f t="shared" si="60"/>
        <v>3.3215180349696563</v>
      </c>
      <c r="AC64" s="263"/>
      <c r="AD64" s="263"/>
      <c r="AE64" s="263"/>
      <c r="AF64" s="263"/>
      <c r="AH64" s="2" t="s">
        <v>275</v>
      </c>
      <c r="AI64" s="2">
        <v>5</v>
      </c>
      <c r="AJ64" s="278">
        <f>Referentieproject!AB87</f>
        <v>1</v>
      </c>
      <c r="AK64" s="4">
        <f t="shared" ref="AK64:AO67" si="71">AK54</f>
        <v>9.6</v>
      </c>
      <c r="AL64" s="4">
        <f t="shared" si="71"/>
        <v>9.6</v>
      </c>
      <c r="AM64" s="4">
        <f t="shared" si="71"/>
        <v>27.35</v>
      </c>
      <c r="AN64" s="4">
        <f t="shared" si="71"/>
        <v>23.33</v>
      </c>
      <c r="AO64" s="4">
        <f t="shared" si="71"/>
        <v>30.83</v>
      </c>
      <c r="AP64" s="4">
        <f t="shared" ref="AP64:AT64" si="72">AP54</f>
        <v>2.3110854313637992</v>
      </c>
      <c r="AQ64" s="4">
        <f t="shared" si="72"/>
        <v>2.3110854313637992</v>
      </c>
      <c r="AR64" s="4">
        <f t="shared" si="72"/>
        <v>6.5841860987291581</v>
      </c>
      <c r="AS64" s="4">
        <f t="shared" si="72"/>
        <v>5.6164190743455666</v>
      </c>
      <c r="AT64" s="4">
        <f t="shared" si="72"/>
        <v>7.4219545675985348</v>
      </c>
      <c r="AU64" s="4">
        <f t="shared" ref="AU64:BN64" si="73">AU54</f>
        <v>6.1736183489789171</v>
      </c>
      <c r="AV64" s="4">
        <f t="shared" si="73"/>
        <v>6.1736183489789171</v>
      </c>
      <c r="AW64" s="4">
        <f t="shared" si="73"/>
        <v>17.588381442143064</v>
      </c>
      <c r="AX64" s="4">
        <f t="shared" si="73"/>
        <v>15.00317875850814</v>
      </c>
      <c r="AY64" s="4">
        <f t="shared" si="73"/>
        <v>19.82631809364792</v>
      </c>
      <c r="AZ64" s="4">
        <f t="shared" si="73"/>
        <v>95.44277856929196</v>
      </c>
      <c r="BA64" s="4">
        <f t="shared" si="73"/>
        <v>95.44277856929196</v>
      </c>
      <c r="BB64" s="4">
        <f t="shared" si="73"/>
        <v>271.91249936147244</v>
      </c>
      <c r="BC64" s="4">
        <f t="shared" si="73"/>
        <v>231.94583583558142</v>
      </c>
      <c r="BD64" s="4">
        <f t="shared" si="73"/>
        <v>306.51050659284078</v>
      </c>
      <c r="BE64" s="4">
        <f t="shared" si="73"/>
        <v>0.58442221664400196</v>
      </c>
      <c r="BF64" s="4">
        <f t="shared" si="73"/>
        <v>0.58442221664400196</v>
      </c>
      <c r="BG64" s="4">
        <f t="shared" si="73"/>
        <v>1.6649945442930683</v>
      </c>
      <c r="BH64" s="4">
        <f t="shared" si="73"/>
        <v>1.4202677410733924</v>
      </c>
      <c r="BI64" s="4">
        <f t="shared" si="73"/>
        <v>1.8768475978265189</v>
      </c>
      <c r="BJ64" s="4">
        <f t="shared" si="73"/>
        <v>3.3215180349696563</v>
      </c>
      <c r="BK64" s="4">
        <f t="shared" si="73"/>
        <v>3.3215180349696563</v>
      </c>
      <c r="BL64" s="4">
        <f t="shared" si="73"/>
        <v>9.4628664850437616</v>
      </c>
      <c r="BM64" s="4">
        <f t="shared" si="73"/>
        <v>8.0719808079002178</v>
      </c>
      <c r="BN64" s="4">
        <f t="shared" si="73"/>
        <v>10.66691677272026</v>
      </c>
      <c r="BO64" s="4"/>
    </row>
    <row r="65" spans="2:88" x14ac:dyDescent="0.2">
      <c r="B65" s="263" t="s">
        <v>276</v>
      </c>
      <c r="C65" s="4">
        <f t="shared" si="55"/>
        <v>0</v>
      </c>
      <c r="D65" s="263"/>
      <c r="E65" s="263"/>
      <c r="F65" s="263"/>
      <c r="G65" s="263"/>
      <c r="H65" s="4">
        <f t="shared" si="56"/>
        <v>0</v>
      </c>
      <c r="I65" s="263"/>
      <c r="J65" s="263"/>
      <c r="K65" s="263"/>
      <c r="L65" s="263"/>
      <c r="M65" s="4">
        <f t="shared" si="57"/>
        <v>0</v>
      </c>
      <c r="N65" s="263"/>
      <c r="O65" s="263"/>
      <c r="P65" s="263"/>
      <c r="Q65" s="263"/>
      <c r="R65" s="4">
        <f t="shared" si="58"/>
        <v>0</v>
      </c>
      <c r="S65" s="263"/>
      <c r="T65" s="263"/>
      <c r="U65" s="263"/>
      <c r="V65" s="263"/>
      <c r="W65" s="4">
        <f t="shared" si="59"/>
        <v>0</v>
      </c>
      <c r="X65" s="263"/>
      <c r="Y65" s="263"/>
      <c r="Z65" s="263"/>
      <c r="AA65" s="263"/>
      <c r="AB65" s="4">
        <f t="shared" si="60"/>
        <v>0</v>
      </c>
      <c r="AC65" s="263"/>
      <c r="AD65" s="263"/>
      <c r="AE65" s="263"/>
      <c r="AF65" s="263"/>
      <c r="AH65" s="2" t="s">
        <v>276</v>
      </c>
      <c r="AI65" s="2">
        <v>6</v>
      </c>
      <c r="AJ65" s="278">
        <f>Referentieproject!AB88</f>
        <v>1</v>
      </c>
      <c r="AK65" s="4">
        <f t="shared" si="71"/>
        <v>0</v>
      </c>
      <c r="AL65" s="4">
        <f t="shared" si="71"/>
        <v>0</v>
      </c>
      <c r="AM65" s="4">
        <f t="shared" si="71"/>
        <v>16.463999999999999</v>
      </c>
      <c r="AN65" s="4"/>
      <c r="AO65" s="4">
        <f t="shared" si="71"/>
        <v>2.2613065326633164</v>
      </c>
      <c r="AP65" s="4">
        <f t="shared" ref="AP65:AR65" si="74">AP55</f>
        <v>0</v>
      </c>
      <c r="AQ65" s="4">
        <f t="shared" si="74"/>
        <v>0</v>
      </c>
      <c r="AR65" s="4">
        <f t="shared" si="74"/>
        <v>2.1299205139361934</v>
      </c>
      <c r="AS65" s="4"/>
      <c r="AT65" s="4">
        <f t="shared" ref="AT65:AW65" si="75">AT55</f>
        <v>0.29254149491117121</v>
      </c>
      <c r="AU65" s="4">
        <f t="shared" si="75"/>
        <v>0</v>
      </c>
      <c r="AV65" s="4">
        <f t="shared" si="75"/>
        <v>0</v>
      </c>
      <c r="AW65" s="4">
        <f t="shared" si="75"/>
        <v>5.5628412708952935</v>
      </c>
      <c r="AX65" s="4"/>
      <c r="AY65" s="4">
        <f t="shared" ref="AY65:BB65" si="76">AY55</f>
        <v>0.76404818428356613</v>
      </c>
      <c r="AZ65" s="4">
        <f t="shared" si="76"/>
        <v>0</v>
      </c>
      <c r="BA65" s="4">
        <f t="shared" si="76"/>
        <v>0</v>
      </c>
      <c r="BB65" s="4">
        <f t="shared" si="76"/>
        <v>84.557479725039229</v>
      </c>
      <c r="BC65" s="4"/>
      <c r="BD65" s="4">
        <f t="shared" ref="BD65:BG65" si="77">BD55</f>
        <v>11.61384725994759</v>
      </c>
      <c r="BE65" s="4">
        <f t="shared" si="77"/>
        <v>0</v>
      </c>
      <c r="BF65" s="4">
        <f t="shared" si="77"/>
        <v>0</v>
      </c>
      <c r="BG65" s="4">
        <f t="shared" si="77"/>
        <v>0.58066289956437345</v>
      </c>
      <c r="BH65" s="4"/>
      <c r="BI65" s="4">
        <f t="shared" ref="BI65:BL65" si="78">BI55</f>
        <v>7.9753207486646063E-2</v>
      </c>
      <c r="BJ65" s="4">
        <f t="shared" si="78"/>
        <v>0</v>
      </c>
      <c r="BK65" s="4">
        <f t="shared" si="78"/>
        <v>0</v>
      </c>
      <c r="BL65" s="4">
        <f t="shared" si="78"/>
        <v>1.9817589087800562</v>
      </c>
      <c r="BM65" s="4"/>
      <c r="BN65" s="4">
        <f t="shared" ref="BN65" si="79">BN55</f>
        <v>0.27219171322813812</v>
      </c>
      <c r="BO65" s="4" t="s">
        <v>490</v>
      </c>
    </row>
    <row r="66" spans="2:88" x14ac:dyDescent="0.2">
      <c r="B66" s="263" t="s">
        <v>277</v>
      </c>
      <c r="C66" s="4">
        <f t="shared" si="55"/>
        <v>0</v>
      </c>
      <c r="D66" s="263"/>
      <c r="E66" s="263"/>
      <c r="F66" s="263"/>
      <c r="G66" s="263"/>
      <c r="H66" s="4">
        <f t="shared" si="56"/>
        <v>0</v>
      </c>
      <c r="I66" s="263"/>
      <c r="J66" s="263"/>
      <c r="K66" s="263"/>
      <c r="L66" s="263"/>
      <c r="M66" s="4">
        <f t="shared" si="57"/>
        <v>0</v>
      </c>
      <c r="N66" s="263"/>
      <c r="O66" s="263"/>
      <c r="P66" s="263"/>
      <c r="Q66" s="263"/>
      <c r="R66" s="4">
        <f t="shared" si="58"/>
        <v>0</v>
      </c>
      <c r="S66" s="263"/>
      <c r="T66" s="263"/>
      <c r="U66" s="263"/>
      <c r="V66" s="263"/>
      <c r="W66" s="4">
        <f t="shared" si="59"/>
        <v>0</v>
      </c>
      <c r="X66" s="263"/>
      <c r="Y66" s="263"/>
      <c r="Z66" s="263"/>
      <c r="AA66" s="263"/>
      <c r="AB66" s="4">
        <f t="shared" si="60"/>
        <v>0</v>
      </c>
      <c r="AC66" s="263"/>
      <c r="AD66" s="263"/>
      <c r="AE66" s="263"/>
      <c r="AF66" s="263"/>
      <c r="AH66" s="2" t="s">
        <v>277</v>
      </c>
      <c r="AI66" s="2">
        <v>7</v>
      </c>
      <c r="AJ66" s="278">
        <f>Referentieproject!AB89</f>
        <v>2</v>
      </c>
      <c r="AK66" s="4">
        <f t="shared" si="71"/>
        <v>3.5333333333333332</v>
      </c>
      <c r="AL66" s="4"/>
      <c r="AM66" s="4"/>
      <c r="AN66" s="4"/>
      <c r="AO66" s="4"/>
      <c r="AP66" s="4">
        <f t="shared" ref="AP66" si="80">AP56</f>
        <v>0.457101503233796</v>
      </c>
      <c r="AQ66" s="4"/>
      <c r="AR66" s="4"/>
      <c r="AS66" s="4"/>
      <c r="AT66" s="4"/>
      <c r="AU66" s="4">
        <f t="shared" ref="AU66" si="81">AU56</f>
        <v>1.1938394369835219</v>
      </c>
      <c r="AV66" s="4"/>
      <c r="AW66" s="4"/>
      <c r="AX66" s="4"/>
      <c r="AY66" s="4"/>
      <c r="AZ66" s="4">
        <f t="shared" ref="AZ66" si="82">AZ56</f>
        <v>18.146851414913666</v>
      </c>
      <c r="BA66" s="4"/>
      <c r="BB66" s="4"/>
      <c r="BC66" s="4"/>
      <c r="BD66" s="4"/>
      <c r="BE66" s="4">
        <f t="shared" ref="BE66" si="83">BE56</f>
        <v>0.12461586360913424</v>
      </c>
      <c r="BF66" s="4"/>
      <c r="BG66" s="4"/>
      <c r="BH66" s="4"/>
      <c r="BI66" s="4"/>
      <c r="BJ66" s="4">
        <f t="shared" ref="BJ66" si="84">BJ56</f>
        <v>0.42530459250624786</v>
      </c>
      <c r="BK66" s="4"/>
      <c r="BL66" s="4"/>
      <c r="BM66" s="4"/>
      <c r="BN66" s="4"/>
    </row>
    <row r="67" spans="2:88" x14ac:dyDescent="0.2">
      <c r="B67" s="263" t="s">
        <v>17</v>
      </c>
      <c r="C67" s="4">
        <f t="shared" si="55"/>
        <v>0</v>
      </c>
      <c r="D67" s="263"/>
      <c r="E67" s="263"/>
      <c r="F67" s="263"/>
      <c r="G67" s="263"/>
      <c r="H67" s="4">
        <f t="shared" si="56"/>
        <v>0</v>
      </c>
      <c r="I67" s="263"/>
      <c r="J67" s="263"/>
      <c r="K67" s="263"/>
      <c r="L67" s="263"/>
      <c r="M67" s="4">
        <f t="shared" si="57"/>
        <v>0</v>
      </c>
      <c r="N67" s="263"/>
      <c r="O67" s="263"/>
      <c r="P67" s="263"/>
      <c r="Q67" s="263"/>
      <c r="R67" s="4">
        <f t="shared" si="58"/>
        <v>0</v>
      </c>
      <c r="S67" s="263"/>
      <c r="T67" s="263"/>
      <c r="U67" s="263"/>
      <c r="V67" s="263"/>
      <c r="W67" s="4">
        <f t="shared" si="59"/>
        <v>0</v>
      </c>
      <c r="X67" s="263"/>
      <c r="Y67" s="263"/>
      <c r="Z67" s="263"/>
      <c r="AA67" s="263"/>
      <c r="AB67" s="4">
        <f t="shared" si="60"/>
        <v>0</v>
      </c>
      <c r="AC67" s="263"/>
      <c r="AD67" s="263"/>
      <c r="AE67" s="263"/>
      <c r="AF67" s="263"/>
      <c r="AH67" s="2" t="s">
        <v>17</v>
      </c>
      <c r="AI67" s="2">
        <v>8</v>
      </c>
      <c r="AJ67" s="278">
        <f>Referentieproject!AB87</f>
        <v>1</v>
      </c>
      <c r="AK67" s="4">
        <f t="shared" si="71"/>
        <v>0</v>
      </c>
      <c r="AL67" s="4">
        <f t="shared" si="71"/>
        <v>0</v>
      </c>
      <c r="AM67" s="4">
        <f t="shared" si="71"/>
        <v>6.5</v>
      </c>
      <c r="AN67" s="4">
        <f t="shared" si="71"/>
        <v>6.5</v>
      </c>
      <c r="AO67" s="4">
        <f t="shared" si="71"/>
        <v>11</v>
      </c>
      <c r="AP67" s="4">
        <f t="shared" ref="AP67:AT67" si="85">AP57</f>
        <v>0</v>
      </c>
      <c r="AQ67" s="4">
        <f t="shared" si="85"/>
        <v>0</v>
      </c>
      <c r="AR67" s="4">
        <f t="shared" si="85"/>
        <v>1.1051122348282276</v>
      </c>
      <c r="AS67" s="4">
        <f t="shared" si="85"/>
        <v>1.1051122348282276</v>
      </c>
      <c r="AT67" s="4">
        <f t="shared" si="85"/>
        <v>1.8701899358631544</v>
      </c>
      <c r="AU67" s="4">
        <f t="shared" ref="AU67:BN67" si="86">AU57</f>
        <v>0</v>
      </c>
      <c r="AV67" s="4">
        <f t="shared" si="86"/>
        <v>0</v>
      </c>
      <c r="AW67" s="4">
        <f t="shared" si="86"/>
        <v>3.7362173162279571</v>
      </c>
      <c r="AX67" s="4">
        <f t="shared" si="86"/>
        <v>3.7362173162279571</v>
      </c>
      <c r="AY67" s="4">
        <f t="shared" si="86"/>
        <v>6.3228293043857731</v>
      </c>
      <c r="AZ67" s="4">
        <f t="shared" si="86"/>
        <v>0</v>
      </c>
      <c r="BA67" s="4">
        <f t="shared" si="86"/>
        <v>0</v>
      </c>
      <c r="BB67" s="4">
        <f t="shared" si="86"/>
        <v>62.289128021641169</v>
      </c>
      <c r="BC67" s="4">
        <f t="shared" si="86"/>
        <v>62.289128021641169</v>
      </c>
      <c r="BD67" s="4">
        <f t="shared" si="86"/>
        <v>105.41237049816196</v>
      </c>
      <c r="BE67" s="4">
        <f t="shared" si="86"/>
        <v>0</v>
      </c>
      <c r="BF67" s="4">
        <f t="shared" si="86"/>
        <v>0</v>
      </c>
      <c r="BG67" s="4">
        <f t="shared" si="86"/>
        <v>0.3956277750360831</v>
      </c>
      <c r="BH67" s="4">
        <f t="shared" si="86"/>
        <v>0.3956277750360831</v>
      </c>
      <c r="BI67" s="4">
        <f t="shared" si="86"/>
        <v>0.66952392698414054</v>
      </c>
      <c r="BJ67" s="4">
        <f t="shared" si="86"/>
        <v>0</v>
      </c>
      <c r="BK67" s="4">
        <f t="shared" si="86"/>
        <v>0</v>
      </c>
      <c r="BL67" s="4">
        <f t="shared" si="86"/>
        <v>0.84176122348225979</v>
      </c>
      <c r="BM67" s="4">
        <f t="shared" si="86"/>
        <v>0.84176122348225979</v>
      </c>
      <c r="BN67" s="4">
        <f t="shared" si="86"/>
        <v>1.4245189935853626</v>
      </c>
    </row>
    <row r="68" spans="2:88" x14ac:dyDescent="0.2">
      <c r="AJ68" s="4"/>
      <c r="AK68" s="4"/>
      <c r="AL68" s="4"/>
      <c r="AM68" s="4"/>
      <c r="AN68" s="4"/>
      <c r="AO68" s="4"/>
      <c r="AP68" s="4"/>
      <c r="AQ68" s="4"/>
      <c r="AR68" s="4"/>
      <c r="AS68" s="4"/>
    </row>
    <row r="71" spans="2:88" ht="15" x14ac:dyDescent="0.25">
      <c r="AH71" s="288" t="s">
        <v>288</v>
      </c>
      <c r="AI71" s="288"/>
      <c r="AK71" s="313" t="s">
        <v>146</v>
      </c>
      <c r="AL71" s="313"/>
      <c r="AM71" s="337"/>
      <c r="AN71" s="314"/>
      <c r="AO71" s="315"/>
      <c r="AP71" s="316" t="s">
        <v>147</v>
      </c>
      <c r="AQ71" s="316"/>
      <c r="AR71" s="317"/>
      <c r="AS71" s="317"/>
      <c r="AT71" s="318"/>
      <c r="AU71" s="319" t="s">
        <v>539</v>
      </c>
      <c r="AV71" s="319"/>
      <c r="AW71" s="320"/>
      <c r="AX71" s="320"/>
      <c r="AY71" s="321"/>
      <c r="AZ71" s="322" t="s">
        <v>28</v>
      </c>
      <c r="BA71" s="322"/>
      <c r="BB71" s="323"/>
      <c r="BC71" s="323"/>
      <c r="BD71" s="324"/>
      <c r="BE71" s="325" t="s">
        <v>540</v>
      </c>
      <c r="BF71" s="326"/>
      <c r="BG71" s="326"/>
      <c r="BH71" s="326"/>
      <c r="BI71" s="326"/>
      <c r="BJ71" s="327" t="str">
        <f>IF(Stappen!$BJ$24=OR(1,2),CA71,CF71)</f>
        <v>schaduwprijzen kantoren</v>
      </c>
      <c r="BK71" s="327"/>
      <c r="BL71" s="328"/>
      <c r="BM71" s="328"/>
      <c r="BN71" s="329"/>
      <c r="CA71" s="327" t="s">
        <v>564</v>
      </c>
      <c r="CB71" s="327"/>
      <c r="CC71" s="328"/>
      <c r="CD71" s="328"/>
      <c r="CE71" s="329"/>
      <c r="CF71" s="327" t="s">
        <v>565</v>
      </c>
      <c r="CG71" s="327"/>
      <c r="CH71" s="328"/>
      <c r="CI71" s="328"/>
      <c r="CJ71" s="329"/>
    </row>
    <row r="72" spans="2:88" ht="15" x14ac:dyDescent="0.25">
      <c r="AH72" s="289"/>
      <c r="AI72" s="289"/>
      <c r="AK72" s="338"/>
      <c r="AL72" s="338"/>
      <c r="AM72" s="338"/>
      <c r="AN72" s="338"/>
      <c r="AO72" s="338"/>
      <c r="AP72" s="339"/>
      <c r="AQ72" s="339"/>
      <c r="AR72" s="339"/>
      <c r="AS72" s="339"/>
      <c r="AT72" s="339"/>
      <c r="AU72" s="330"/>
      <c r="AV72" s="330"/>
      <c r="AW72" s="330"/>
      <c r="AX72" s="330"/>
      <c r="AY72" s="330"/>
      <c r="AZ72" s="340"/>
      <c r="BA72" s="340"/>
      <c r="BB72" s="340"/>
      <c r="BC72" s="340"/>
      <c r="BD72" s="341"/>
      <c r="BE72" s="342"/>
      <c r="BF72" s="342"/>
      <c r="BG72" s="342"/>
      <c r="BH72" s="342"/>
      <c r="BI72" s="342"/>
      <c r="BJ72" s="343"/>
      <c r="BK72" s="343"/>
      <c r="BL72" s="343"/>
      <c r="BM72" s="343"/>
      <c r="BN72" s="343"/>
      <c r="CA72" s="357"/>
      <c r="CB72" s="357"/>
      <c r="CC72" s="357"/>
      <c r="CD72" s="357"/>
      <c r="CE72" s="363"/>
      <c r="CF72" s="357"/>
      <c r="CG72" s="357"/>
      <c r="CH72" s="357"/>
      <c r="CI72" s="357"/>
      <c r="CJ72" s="363"/>
    </row>
    <row r="73" spans="2:88" ht="15" x14ac:dyDescent="0.25">
      <c r="AH73" s="288" t="s">
        <v>234</v>
      </c>
      <c r="AI73" s="288"/>
      <c r="AK73" s="338"/>
      <c r="AL73" s="338"/>
      <c r="AM73" s="338"/>
      <c r="AN73" s="338"/>
      <c r="AO73" s="338"/>
      <c r="AP73" s="339"/>
      <c r="AQ73" s="339"/>
      <c r="AR73" s="339"/>
      <c r="AS73" s="339"/>
      <c r="AT73" s="339"/>
      <c r="AU73" s="330"/>
      <c r="AV73" s="330"/>
      <c r="AW73" s="330"/>
      <c r="AX73" s="330"/>
      <c r="AY73" s="330"/>
      <c r="AZ73" s="340"/>
      <c r="BA73" s="340"/>
      <c r="BB73" s="340"/>
      <c r="BC73" s="340"/>
      <c r="BD73" s="341"/>
      <c r="BE73" s="342"/>
      <c r="BF73" s="342"/>
      <c r="BG73" s="342"/>
      <c r="BH73" s="342"/>
      <c r="BI73" s="342"/>
      <c r="BJ73" s="343"/>
      <c r="BK73" s="343"/>
      <c r="BL73" s="343"/>
      <c r="BM73" s="343"/>
      <c r="BN73" s="343"/>
      <c r="CA73" s="357"/>
      <c r="CB73" s="357"/>
      <c r="CC73" s="357"/>
      <c r="CD73" s="357"/>
      <c r="CE73" s="363"/>
      <c r="CF73" s="357"/>
      <c r="CG73" s="357"/>
      <c r="CH73" s="357"/>
      <c r="CI73" s="357"/>
      <c r="CJ73" s="363"/>
    </row>
    <row r="74" spans="2:88" ht="15" x14ac:dyDescent="0.25">
      <c r="AH74" s="290" t="s">
        <v>51</v>
      </c>
      <c r="AI74" s="290"/>
      <c r="AJ74" s="35">
        <v>1</v>
      </c>
      <c r="AK74" s="331">
        <v>1</v>
      </c>
      <c r="AL74" s="331">
        <v>2</v>
      </c>
      <c r="AM74" s="331">
        <v>3</v>
      </c>
      <c r="AN74" s="331">
        <v>4</v>
      </c>
      <c r="AO74" s="331">
        <v>5</v>
      </c>
      <c r="AP74" s="332">
        <v>11</v>
      </c>
      <c r="AQ74" s="332">
        <v>12</v>
      </c>
      <c r="AR74" s="332">
        <v>13</v>
      </c>
      <c r="AS74" s="332">
        <v>14</v>
      </c>
      <c r="AT74" s="332">
        <v>15</v>
      </c>
      <c r="AU74" s="333">
        <v>21</v>
      </c>
      <c r="AV74" s="333">
        <v>22</v>
      </c>
      <c r="AW74" s="333">
        <v>23</v>
      </c>
      <c r="AX74" s="333">
        <v>24</v>
      </c>
      <c r="AY74" s="333">
        <v>25</v>
      </c>
      <c r="AZ74" s="334">
        <v>31</v>
      </c>
      <c r="BA74" s="334">
        <v>32</v>
      </c>
      <c r="BB74" s="334">
        <v>33</v>
      </c>
      <c r="BC74" s="334">
        <v>34</v>
      </c>
      <c r="BD74" s="334">
        <v>35</v>
      </c>
      <c r="BE74" s="335">
        <v>41</v>
      </c>
      <c r="BF74" s="335">
        <v>42</v>
      </c>
      <c r="BG74" s="335">
        <v>43</v>
      </c>
      <c r="BH74" s="335">
        <v>44</v>
      </c>
      <c r="BI74" s="335">
        <v>45</v>
      </c>
      <c r="BJ74" s="336">
        <f>IF(Stappen!$BJ$24=OR(1,2),CA74,CF74)</f>
        <v>51</v>
      </c>
      <c r="BK74" s="336">
        <f>IF(Stappen!$BJ$24=OR(1,2),CB74,CG74)</f>
        <v>52</v>
      </c>
      <c r="BL74" s="336">
        <f>IF(Stappen!$BJ$24=OR(1,2),CC74,CH74)</f>
        <v>53</v>
      </c>
      <c r="BM74" s="336">
        <f>IF(Stappen!$BJ$24=OR(1,2),CD74,CI74)</f>
        <v>54</v>
      </c>
      <c r="BN74" s="336">
        <v>55</v>
      </c>
      <c r="CA74" s="336">
        <v>51</v>
      </c>
      <c r="CB74" s="336">
        <v>52</v>
      </c>
      <c r="CC74" s="336">
        <v>53</v>
      </c>
      <c r="CD74" s="336">
        <v>54</v>
      </c>
      <c r="CE74" s="336">
        <v>55</v>
      </c>
      <c r="CF74" s="336">
        <v>51</v>
      </c>
      <c r="CG74" s="336">
        <v>52</v>
      </c>
      <c r="CH74" s="336">
        <v>53</v>
      </c>
      <c r="CI74" s="336">
        <v>54</v>
      </c>
      <c r="CJ74" s="336">
        <v>55</v>
      </c>
    </row>
    <row r="75" spans="2:88" ht="15" x14ac:dyDescent="0.25">
      <c r="AH75" s="291" t="s">
        <v>291</v>
      </c>
      <c r="AI75" s="291"/>
      <c r="AJ75" s="35">
        <f>AJ74+1</f>
        <v>2</v>
      </c>
      <c r="AK75" s="35">
        <v>17.709392499702517</v>
      </c>
      <c r="AL75" s="35">
        <v>56.004722499564522</v>
      </c>
      <c r="AM75" s="35">
        <v>126.49869250106858</v>
      </c>
      <c r="AN75" s="35">
        <v>184.29669250041479</v>
      </c>
      <c r="AP75" s="35">
        <v>3.6463000000076136</v>
      </c>
      <c r="AQ75" s="35">
        <v>11.957237500013289</v>
      </c>
      <c r="AR75" s="35">
        <v>27.49229999993986</v>
      </c>
      <c r="AS75" s="35">
        <v>27.492300000091198</v>
      </c>
      <c r="AU75" s="3">
        <v>13.760905000002822</v>
      </c>
      <c r="AV75" s="3">
        <v>36.06713500002806</v>
      </c>
      <c r="AW75" s="3">
        <v>79.90320499993976</v>
      </c>
      <c r="AX75" s="3">
        <v>79.90320499993976</v>
      </c>
      <c r="AY75" s="3"/>
      <c r="AZ75" s="3">
        <v>94.483924999367446</v>
      </c>
      <c r="BA75" s="3">
        <v>338.00528749745803</v>
      </c>
      <c r="BB75" s="3">
        <v>916.31392500689253</v>
      </c>
      <c r="BC75" s="3">
        <v>916.31392499236381</v>
      </c>
      <c r="BD75" s="3"/>
      <c r="BE75" s="3">
        <v>7.9624800000019604</v>
      </c>
      <c r="BF75" s="3">
        <v>15.029909999962619</v>
      </c>
      <c r="BG75" s="3">
        <v>23.780280000105268</v>
      </c>
      <c r="BH75" s="3">
        <v>23.780279999878257</v>
      </c>
      <c r="BI75" s="3"/>
      <c r="BJ75" s="3">
        <f>IF(Stappen!$BJ$24=OR(1,2),CA75,CF75)</f>
        <v>1.0886249999966822</v>
      </c>
      <c r="BK75" s="3">
        <f>IF(Stappen!$BJ$24=OR(1,2),CB75,CG75)</f>
        <v>5.4504375000068102</v>
      </c>
      <c r="BL75" s="3">
        <f>IF(Stappen!$BJ$24=OR(1,2),CC75,CH75)</f>
        <v>6.3006249999525599</v>
      </c>
      <c r="BM75" s="3">
        <f>IF(Stappen!$BJ$24=OR(1,2),CD75,CI75)</f>
        <v>7.2366249999919088</v>
      </c>
      <c r="BN75" s="3"/>
      <c r="CA75" s="526">
        <v>1.0886249999748543</v>
      </c>
      <c r="CB75" s="526">
        <v>5.450437499970576</v>
      </c>
      <c r="CC75" s="526">
        <v>6.3006250000093127</v>
      </c>
      <c r="CD75" s="526">
        <v>7.2366249999729906</v>
      </c>
      <c r="CE75" s="526"/>
      <c r="CF75" s="526">
        <v>1.0886249999966822</v>
      </c>
      <c r="CG75" s="526">
        <v>5.4504375000068102</v>
      </c>
      <c r="CH75" s="526">
        <v>6.3006249999525599</v>
      </c>
      <c r="CI75" s="526">
        <v>7.2366249999919088</v>
      </c>
      <c r="CJ75" s="526"/>
    </row>
    <row r="76" spans="2:88" ht="15" x14ac:dyDescent="0.25">
      <c r="AH76" s="291" t="s">
        <v>292</v>
      </c>
      <c r="AI76" s="291"/>
      <c r="AJ76" s="35">
        <f t="shared" ref="AJ76:AJ135" si="87">AJ75+1</f>
        <v>3</v>
      </c>
      <c r="AK76" s="35">
        <v>469.08323620026931</v>
      </c>
      <c r="AL76" s="42">
        <v>46.163429999956861</v>
      </c>
      <c r="AM76" s="42">
        <v>72.051329999929294</v>
      </c>
      <c r="AN76" s="35">
        <v>89.094822362023422</v>
      </c>
      <c r="AP76" s="35">
        <v>186.54132299998309</v>
      </c>
      <c r="AQ76" s="42">
        <v>23.257649999985009</v>
      </c>
      <c r="AR76" s="42">
        <v>37.112000000081025</v>
      </c>
      <c r="AS76" s="35">
        <v>42.663223229901639</v>
      </c>
      <c r="AU76" s="3">
        <v>748.88833219965454</v>
      </c>
      <c r="AV76" s="274">
        <v>83.260430000023916</v>
      </c>
      <c r="AW76" s="274">
        <v>138.45562999998219</v>
      </c>
      <c r="AX76" s="3">
        <v>163.53765332210693</v>
      </c>
      <c r="AY76" s="3"/>
      <c r="AZ76" s="3">
        <v>4941.9727330040187</v>
      </c>
      <c r="BA76" s="274">
        <v>970.6404000017792</v>
      </c>
      <c r="BB76" s="274">
        <v>1448.3898499999195</v>
      </c>
      <c r="BC76" s="3">
        <v>1417.1676473309658</v>
      </c>
      <c r="BD76" s="3"/>
      <c r="BE76" s="3">
        <v>286.88737319994834</v>
      </c>
      <c r="BF76" s="274">
        <v>23.031679999985499</v>
      </c>
      <c r="BG76" s="274">
        <v>33.250079999997979</v>
      </c>
      <c r="BH76" s="3">
        <v>32.345563732009907</v>
      </c>
      <c r="BI76" s="3"/>
      <c r="BJ76" s="3">
        <f>IF(Stappen!$BJ$24=OR(1,2),CA76,CF76)</f>
        <v>244.30912300004275</v>
      </c>
      <c r="BK76" s="274">
        <f>IF(Stappen!$BJ$24=OR(1,2),CB76,CG76)</f>
        <v>18.609249999979511</v>
      </c>
      <c r="BL76" s="274">
        <f>IF(Stappen!$BJ$24=OR(1,2),CC76,CH76)</f>
        <v>31.146349999995437</v>
      </c>
      <c r="BM76" s="3">
        <f>IF(Stappen!$BJ$24=OR(1,2),CD76,CI76)</f>
        <v>37.961701229999598</v>
      </c>
      <c r="BN76" s="3"/>
      <c r="CA76" s="526">
        <v>244.30912300007185</v>
      </c>
      <c r="CB76" s="526">
        <v>18.609249999979511</v>
      </c>
      <c r="CC76" s="526">
        <v>31.146350000053644</v>
      </c>
      <c r="CD76" s="526">
        <v>37.961701230087201</v>
      </c>
      <c r="CE76" s="526"/>
      <c r="CF76" s="526">
        <v>244.30912300004275</v>
      </c>
      <c r="CG76" s="526">
        <v>18.609249999979511</v>
      </c>
      <c r="CH76" s="526">
        <v>31.146349999995437</v>
      </c>
      <c r="CI76" s="526">
        <v>37.961701229999598</v>
      </c>
      <c r="CJ76" s="526"/>
    </row>
    <row r="77" spans="2:88" ht="15" x14ac:dyDescent="0.25">
      <c r="AH77" s="291" t="s">
        <v>293</v>
      </c>
      <c r="AI77" s="291"/>
      <c r="AJ77" s="35">
        <f t="shared" si="87"/>
        <v>4</v>
      </c>
      <c r="AK77" s="35">
        <v>54.697388283290366</v>
      </c>
      <c r="AL77" s="35">
        <v>69.808146568136905</v>
      </c>
      <c r="AM77" s="35">
        <v>95.092904884295166</v>
      </c>
      <c r="AN77" s="35">
        <v>0</v>
      </c>
      <c r="AP77" s="35">
        <v>16.803137284535012</v>
      </c>
      <c r="AQ77" s="35">
        <v>22.16167848294161</v>
      </c>
      <c r="AR77" s="35">
        <v>36.006349940238707</v>
      </c>
      <c r="AS77" s="35">
        <v>0</v>
      </c>
      <c r="AU77" s="3">
        <v>67.85145895142125</v>
      </c>
      <c r="AV77" s="3">
        <v>87.064311784041763</v>
      </c>
      <c r="AW77" s="3">
        <v>139.57653049119608</v>
      </c>
      <c r="AX77" s="3">
        <v>0</v>
      </c>
      <c r="AY77" s="3"/>
      <c r="AZ77" s="3">
        <v>518.99042017542888</v>
      </c>
      <c r="BA77" s="3">
        <v>908.03074873270953</v>
      </c>
      <c r="BB77" s="3">
        <v>1145.126562077493</v>
      </c>
      <c r="BC77" s="3">
        <v>0</v>
      </c>
      <c r="BD77" s="3"/>
      <c r="BE77" s="3">
        <v>22.124467176471342</v>
      </c>
      <c r="BF77" s="3">
        <v>24.441704818184895</v>
      </c>
      <c r="BG77" s="3">
        <v>48.665483124194722</v>
      </c>
      <c r="BH77" s="3">
        <v>0</v>
      </c>
      <c r="BI77" s="3"/>
      <c r="BJ77" s="3">
        <f>IF(Stappen!$BJ$24=OR(1,2),CA77,CF77)</f>
        <v>11.343140881808608</v>
      </c>
      <c r="BK77" s="3">
        <f>IF(Stappen!$BJ$24=OR(1,2),CB77,CG77)</f>
        <v>15.93889475000589</v>
      </c>
      <c r="BL77" s="3">
        <f>IF(Stappen!$BJ$24=OR(1,2),CC77,CH77)</f>
        <v>22.63417386705656</v>
      </c>
      <c r="BM77" s="3">
        <f>IF(Stappen!$BJ$24=OR(1,2),CD77,CI77)</f>
        <v>0</v>
      </c>
      <c r="BN77" s="3"/>
      <c r="CA77" s="526">
        <v>11.343140881809404</v>
      </c>
      <c r="CB77" s="526">
        <v>15.938894749996891</v>
      </c>
      <c r="CC77" s="526">
        <v>22.634173867024685</v>
      </c>
      <c r="CD77" s="526">
        <v>0</v>
      </c>
      <c r="CE77" s="526"/>
      <c r="CF77" s="526">
        <v>11.343140881808608</v>
      </c>
      <c r="CG77" s="526">
        <v>15.93889475000589</v>
      </c>
      <c r="CH77" s="526">
        <v>22.63417386705656</v>
      </c>
      <c r="CI77" s="526">
        <v>0</v>
      </c>
      <c r="CJ77" s="526"/>
    </row>
    <row r="78" spans="2:88" ht="15" x14ac:dyDescent="0.25">
      <c r="AH78" s="291" t="s">
        <v>294</v>
      </c>
      <c r="AI78" s="291"/>
      <c r="AJ78" s="35">
        <f t="shared" si="87"/>
        <v>5</v>
      </c>
      <c r="AK78" s="35">
        <v>18.282514395420208</v>
      </c>
      <c r="AL78" s="35">
        <v>53.490349328178894</v>
      </c>
      <c r="AM78" s="35">
        <v>146.2296257197724</v>
      </c>
      <c r="AN78" s="35">
        <v>0</v>
      </c>
      <c r="AO78" s="79"/>
      <c r="AP78" s="35">
        <v>12.168867562377329</v>
      </c>
      <c r="AQ78" s="35">
        <v>14.694155470244326</v>
      </c>
      <c r="AR78" s="35">
        <v>84.36346449136623</v>
      </c>
      <c r="AS78" s="35">
        <v>0</v>
      </c>
      <c r="AU78" s="3">
        <v>42.349366602675332</v>
      </c>
      <c r="AV78" s="3">
        <v>61.480464491374249</v>
      </c>
      <c r="AW78" s="3">
        <v>246.61984644913838</v>
      </c>
      <c r="AX78" s="3">
        <v>0</v>
      </c>
      <c r="AY78" s="3"/>
      <c r="AZ78" s="3">
        <v>430.34356046060839</v>
      </c>
      <c r="BA78" s="3">
        <v>453.1436084451766</v>
      </c>
      <c r="BB78" s="3">
        <v>3402.9872552783208</v>
      </c>
      <c r="BC78" s="3">
        <v>0</v>
      </c>
      <c r="BD78" s="3"/>
      <c r="BE78" s="3">
        <v>3.5422552783098809</v>
      </c>
      <c r="BF78" s="3">
        <v>8.3081708253346562</v>
      </c>
      <c r="BG78" s="3">
        <v>25.095163147803135</v>
      </c>
      <c r="BH78" s="3">
        <v>0</v>
      </c>
      <c r="BI78" s="3"/>
      <c r="BJ78" s="3">
        <f>IF(Stappen!$BJ$24=OR(1,2),CA78,CF78)</f>
        <v>9.0388867562393216</v>
      </c>
      <c r="BK78" s="3">
        <f>IF(Stappen!$BJ$24=OR(1,2),CB78,CG78)</f>
        <v>17.939049904031819</v>
      </c>
      <c r="BL78" s="3">
        <f>IF(Stappen!$BJ$24=OR(1,2),CC78,CH78)</f>
        <v>29.692571976969532</v>
      </c>
      <c r="BM78" s="3">
        <f>IF(Stappen!$BJ$24=OR(1,2),CD78,CI78)</f>
        <v>0</v>
      </c>
      <c r="BN78" s="3"/>
      <c r="CA78" s="526">
        <v>9.0388867562394921</v>
      </c>
      <c r="CB78" s="526">
        <v>17.939049904031933</v>
      </c>
      <c r="CC78" s="526">
        <v>29.692571976962832</v>
      </c>
      <c r="CD78" s="526">
        <v>0</v>
      </c>
      <c r="CE78" s="526"/>
      <c r="CF78" s="526">
        <v>9.0388867562393216</v>
      </c>
      <c r="CG78" s="526">
        <v>17.939049904031819</v>
      </c>
      <c r="CH78" s="526">
        <v>29.692571976969532</v>
      </c>
      <c r="CI78" s="526">
        <v>0</v>
      </c>
      <c r="CJ78" s="526"/>
    </row>
    <row r="79" spans="2:88" ht="15" x14ac:dyDescent="0.25">
      <c r="AH79" s="290" t="s">
        <v>52</v>
      </c>
      <c r="AI79" s="290"/>
      <c r="AJ79" s="35">
        <f t="shared" si="87"/>
        <v>6</v>
      </c>
      <c r="AK79" s="35"/>
      <c r="AL79" s="35"/>
      <c r="AM79" s="35"/>
      <c r="AN79" s="35"/>
      <c r="AO79" s="79"/>
      <c r="AP79" s="35"/>
      <c r="AQ79" s="35"/>
      <c r="AR79" s="35"/>
      <c r="AS79" s="35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CA79" s="526"/>
      <c r="CB79" s="526"/>
      <c r="CC79" s="526"/>
      <c r="CD79" s="526"/>
      <c r="CE79" s="526"/>
      <c r="CF79" s="526"/>
      <c r="CG79" s="526"/>
      <c r="CH79" s="526"/>
      <c r="CI79" s="526"/>
      <c r="CJ79" s="526"/>
    </row>
    <row r="80" spans="2:88" ht="15" x14ac:dyDescent="0.25">
      <c r="AH80" s="291" t="s">
        <v>295</v>
      </c>
      <c r="AI80" s="291"/>
      <c r="AJ80" s="35">
        <f t="shared" si="87"/>
        <v>7</v>
      </c>
      <c r="AK80" s="35">
        <v>59.70788079503086</v>
      </c>
      <c r="AL80" s="35">
        <v>55.882894800235533</v>
      </c>
      <c r="AM80" s="35">
        <v>141.76919999980373</v>
      </c>
      <c r="AN80" s="42">
        <v>81.06175800002643</v>
      </c>
      <c r="AP80" s="35">
        <v>8.0377266166307493</v>
      </c>
      <c r="AQ80" s="35">
        <v>15.386024299965939</v>
      </c>
      <c r="AR80" s="35">
        <v>42.124900000006903</v>
      </c>
      <c r="AS80" s="42">
        <v>12.147972499921451</v>
      </c>
      <c r="AU80" s="3">
        <v>28.437397674450722</v>
      </c>
      <c r="AV80" s="3">
        <v>69.061782099897982</v>
      </c>
      <c r="AW80" s="3">
        <v>94.181800000043495</v>
      </c>
      <c r="AX80" s="274">
        <v>76.353118000098078</v>
      </c>
      <c r="AY80" s="3"/>
      <c r="AZ80" s="3">
        <v>282.42314979820458</v>
      </c>
      <c r="BA80" s="3">
        <v>748.12414630021931</v>
      </c>
      <c r="BB80" s="3">
        <v>1122.3645999994123</v>
      </c>
      <c r="BC80" s="274">
        <v>387.84015250023458</v>
      </c>
      <c r="BD80" s="3"/>
      <c r="BE80" s="3">
        <v>7.4181315378884847</v>
      </c>
      <c r="BF80" s="3">
        <v>21.189117400012321</v>
      </c>
      <c r="BG80" s="3">
        <v>8.1242000000015935</v>
      </c>
      <c r="BH80" s="274">
        <v>57.804137999999227</v>
      </c>
      <c r="BI80" s="3"/>
      <c r="BJ80" s="3">
        <f>IF(Stappen!$BJ$24=OR(1,2),CA80,CF80)</f>
        <v>3.7735006451748063</v>
      </c>
      <c r="BK80" s="3">
        <f>IF(Stappen!$BJ$24=OR(1,2),CB80,CG80)</f>
        <v>8.6825688000069903</v>
      </c>
      <c r="BL80" s="3">
        <f>IF(Stappen!$BJ$24=OR(1,2),CC80,CH80)</f>
        <v>16.070099999973323</v>
      </c>
      <c r="BM80" s="274">
        <f>IF(Stappen!$BJ$24=OR(1,2),CD80,CI80)</f>
        <v>2.7259350000170528</v>
      </c>
      <c r="BN80" s="3"/>
      <c r="CA80" s="526">
        <v>3.7735006451500794</v>
      </c>
      <c r="CB80" s="526">
        <v>8.6825687999767212</v>
      </c>
      <c r="CC80" s="526">
        <v>16.070100000045485</v>
      </c>
      <c r="CD80" s="526">
        <v>2.725934999987949</v>
      </c>
      <c r="CE80" s="526"/>
      <c r="CF80" s="526">
        <v>3.7735006451748063</v>
      </c>
      <c r="CG80" s="526">
        <v>8.6825688000069903</v>
      </c>
      <c r="CH80" s="526">
        <v>16.070099999973323</v>
      </c>
      <c r="CI80" s="526">
        <v>2.7259350000170528</v>
      </c>
      <c r="CJ80" s="526"/>
    </row>
    <row r="81" spans="34:88" ht="15" x14ac:dyDescent="0.25">
      <c r="AH81" s="291" t="s">
        <v>296</v>
      </c>
      <c r="AI81" s="291"/>
      <c r="AJ81" s="35">
        <f t="shared" si="87"/>
        <v>8</v>
      </c>
      <c r="AK81" s="35">
        <v>107.66149999992922</v>
      </c>
      <c r="AL81" s="35">
        <v>68.307627800153568</v>
      </c>
      <c r="AM81" s="35">
        <v>186.94500000029802</v>
      </c>
      <c r="AN81" s="35">
        <v>100.50770000007469</v>
      </c>
      <c r="AP81" s="35">
        <v>16.577000000048429</v>
      </c>
      <c r="AQ81" s="35">
        <v>29.494344000006095</v>
      </c>
      <c r="AR81" s="35">
        <v>66.875</v>
      </c>
      <c r="AS81" s="35">
        <v>18.15562500001397</v>
      </c>
      <c r="AU81" s="3">
        <v>60.741500000120141</v>
      </c>
      <c r="AV81" s="3">
        <v>134.64728280005511</v>
      </c>
      <c r="AW81" s="3">
        <v>151.55499999993481</v>
      </c>
      <c r="AX81" s="3">
        <v>100.72070000000531</v>
      </c>
      <c r="AY81" s="3"/>
      <c r="AZ81" s="3">
        <v>582.79949999973178</v>
      </c>
      <c r="BA81" s="3">
        <v>875.42701900005386</v>
      </c>
      <c r="BB81" s="3">
        <v>1665.9100000001481</v>
      </c>
      <c r="BC81" s="3">
        <v>527.10812500026077</v>
      </c>
      <c r="BD81" s="3"/>
      <c r="BE81" s="3">
        <v>15.142500000016298</v>
      </c>
      <c r="BF81" s="3">
        <v>39.979672799992841</v>
      </c>
      <c r="BG81" s="3">
        <v>12.619999999995343</v>
      </c>
      <c r="BH81" s="3">
        <v>74.917200000025318</v>
      </c>
      <c r="BI81" s="3"/>
      <c r="BJ81" s="3">
        <f>IF(Stappen!$BJ$24=OR(1,2),CA81,CF81)</f>
        <v>0.77400000003399327</v>
      </c>
      <c r="BK81" s="3">
        <f>IF(Stappen!$BJ$24=OR(1,2),CB81,CG81)</f>
        <v>30.264395000005607</v>
      </c>
      <c r="BL81" s="3">
        <f>IF(Stappen!$BJ$24=OR(1,2),CC81,CH81)</f>
        <v>29.5</v>
      </c>
      <c r="BM81" s="3">
        <f>IF(Stappen!$BJ$24=OR(1,2),CD81,CI81)</f>
        <v>3.9597499999799766</v>
      </c>
      <c r="BN81" s="3"/>
      <c r="CA81" s="526">
        <v>0.77400000009220093</v>
      </c>
      <c r="CB81" s="526">
        <v>30.264394999947399</v>
      </c>
      <c r="CC81" s="526">
        <v>29.499999999999986</v>
      </c>
      <c r="CD81" s="526">
        <v>3.9597499999799766</v>
      </c>
      <c r="CE81" s="526"/>
      <c r="CF81" s="526">
        <v>0.77400000003399327</v>
      </c>
      <c r="CG81" s="526">
        <v>30.264395000005607</v>
      </c>
      <c r="CH81" s="526">
        <v>29.5</v>
      </c>
      <c r="CI81" s="526">
        <v>3.9597499999799766</v>
      </c>
      <c r="CJ81" s="526"/>
    </row>
    <row r="82" spans="34:88" ht="15" x14ac:dyDescent="0.25">
      <c r="AH82" s="291" t="s">
        <v>297</v>
      </c>
      <c r="AI82" s="291"/>
      <c r="AJ82" s="35">
        <f t="shared" si="87"/>
        <v>9</v>
      </c>
      <c r="AK82" s="42">
        <v>63.802127833245322</v>
      </c>
      <c r="AL82" s="42">
        <v>59.173744999881251</v>
      </c>
      <c r="AM82" s="42">
        <v>54.556685000114726</v>
      </c>
      <c r="AN82" s="42">
        <v>45.759851666710631</v>
      </c>
      <c r="AP82" s="42">
        <v>25.723293333294947</v>
      </c>
      <c r="AQ82" s="42">
        <v>31.279715000050302</v>
      </c>
      <c r="AR82" s="42">
        <v>15.638008333373989</v>
      </c>
      <c r="AS82" s="42">
        <v>13.667608333421711</v>
      </c>
      <c r="AU82" s="274">
        <v>95.631629499956034</v>
      </c>
      <c r="AV82" s="274">
        <v>118.84641499991994</v>
      </c>
      <c r="AW82" s="274">
        <v>68.082601666722098</v>
      </c>
      <c r="AX82" s="274">
        <v>54.185268333298154</v>
      </c>
      <c r="AY82" s="3"/>
      <c r="AZ82" s="274">
        <v>870.15907083389629</v>
      </c>
      <c r="BA82" s="274">
        <v>1132.9503133328008</v>
      </c>
      <c r="BB82" s="274">
        <v>532.2597166666128</v>
      </c>
      <c r="BC82" s="274">
        <v>496.3538666684185</v>
      </c>
      <c r="BD82" s="3"/>
      <c r="BE82" s="274">
        <v>21.863603666647862</v>
      </c>
      <c r="BF82" s="274">
        <v>25.717470000012952</v>
      </c>
      <c r="BG82" s="274">
        <v>17.960310000009457</v>
      </c>
      <c r="BH82" s="274">
        <v>21.598343333345838</v>
      </c>
      <c r="BI82" s="3"/>
      <c r="BJ82" s="274">
        <f>IF(Stappen!$BJ$24=OR(1,2),CA82,CF82)</f>
        <v>23.881719166684604</v>
      </c>
      <c r="BK82" s="274">
        <f>IF(Stappen!$BJ$24=OR(1,2),CB82,CG82)</f>
        <v>24.675681666684483</v>
      </c>
      <c r="BL82" s="274">
        <f>IF(Stappen!$BJ$24=OR(1,2),CC82,CH82)</f>
        <v>16.775541666672041</v>
      </c>
      <c r="BM82" s="274">
        <f>IF(Stappen!$BJ$24=OR(1,2),CD82,CI82)</f>
        <v>6.6011416666830556</v>
      </c>
      <c r="BN82" s="3"/>
      <c r="CA82" s="526">
        <v>23.881719166665164</v>
      </c>
      <c r="CB82" s="526">
        <v>24.675681666665085</v>
      </c>
      <c r="CC82" s="526">
        <v>16.775541666662349</v>
      </c>
      <c r="CD82" s="526">
        <v>6.6011416666054501</v>
      </c>
      <c r="CE82" s="526"/>
      <c r="CF82" s="526">
        <v>23.881719166684604</v>
      </c>
      <c r="CG82" s="526">
        <v>24.675681666684483</v>
      </c>
      <c r="CH82" s="526">
        <v>16.775541666672041</v>
      </c>
      <c r="CI82" s="526">
        <v>6.6011416666830556</v>
      </c>
      <c r="CJ82" s="526"/>
    </row>
    <row r="83" spans="34:88" ht="15" x14ac:dyDescent="0.25">
      <c r="AH83" s="291" t="s">
        <v>298</v>
      </c>
      <c r="AI83" s="291"/>
      <c r="AJ83" s="35">
        <f t="shared" si="87"/>
        <v>10</v>
      </c>
      <c r="AK83" s="70">
        <v>0</v>
      </c>
      <c r="AL83" s="35">
        <v>31.212500000139698</v>
      </c>
      <c r="AM83" s="42">
        <v>133.64358287652931</v>
      </c>
      <c r="AN83" s="42">
        <v>98.913106874846562</v>
      </c>
      <c r="AP83" s="70">
        <v>0</v>
      </c>
      <c r="AQ83" s="35">
        <v>7.2250000000058208</v>
      </c>
      <c r="AR83" s="42">
        <v>22.625142465789736</v>
      </c>
      <c r="AS83" s="42">
        <v>22.468443125018879</v>
      </c>
      <c r="AU83" s="293">
        <v>0</v>
      </c>
      <c r="AV83" s="3">
        <v>19.79500000004191</v>
      </c>
      <c r="AW83" s="274">
        <v>69.830606164587721</v>
      </c>
      <c r="AX83" s="274">
        <v>75.242400624894799</v>
      </c>
      <c r="AY83" s="3"/>
      <c r="AZ83" s="293">
        <v>0</v>
      </c>
      <c r="BA83" s="3">
        <v>291.55250000022352</v>
      </c>
      <c r="BB83" s="274">
        <v>1249.8165589040018</v>
      </c>
      <c r="BC83" s="274">
        <v>1124.1139224999938</v>
      </c>
      <c r="BD83" s="3"/>
      <c r="BE83" s="293">
        <v>0</v>
      </c>
      <c r="BF83" s="3">
        <v>2.0174999999944703</v>
      </c>
      <c r="BG83" s="274">
        <v>9.0580178082295504</v>
      </c>
      <c r="BH83" s="274">
        <v>27.351071249997858</v>
      </c>
      <c r="BI83" s="3"/>
      <c r="BJ83" s="293">
        <f>IF(Stappen!$BJ$24=OR(1,2),CA83,CF83)</f>
        <v>0</v>
      </c>
      <c r="BK83" s="3">
        <f>IF(Stappen!$BJ$24=OR(1,2),CB83,CG83)</f>
        <v>1.8625000000029104</v>
      </c>
      <c r="BL83" s="274">
        <f>IF(Stappen!$BJ$24=OR(1,2),CC83,CH83)</f>
        <v>5.8490773973004195</v>
      </c>
      <c r="BM83" s="274">
        <f>IF(Stappen!$BJ$24=OR(1,2),CD83,CI83)</f>
        <v>10.085430625025765</v>
      </c>
      <c r="BN83" s="3"/>
      <c r="CA83" s="526">
        <v>0</v>
      </c>
      <c r="CB83" s="526">
        <v>1.8625000000174623</v>
      </c>
      <c r="CC83" s="526">
        <v>5.8490773972438035</v>
      </c>
      <c r="CD83" s="526">
        <v>10.085430624938454</v>
      </c>
      <c r="CE83" s="526"/>
      <c r="CF83" s="526">
        <v>0</v>
      </c>
      <c r="CG83" s="526">
        <v>1.8625000000029104</v>
      </c>
      <c r="CH83" s="526">
        <v>5.8490773973004195</v>
      </c>
      <c r="CI83" s="526">
        <v>10.085430625025765</v>
      </c>
      <c r="CJ83" s="526"/>
    </row>
    <row r="84" spans="34:88" ht="15" x14ac:dyDescent="0.25">
      <c r="AH84" s="291" t="s">
        <v>299</v>
      </c>
      <c r="AI84" s="291"/>
      <c r="AJ84" s="35">
        <f t="shared" si="87"/>
        <v>11</v>
      </c>
      <c r="AK84" s="35">
        <v>22.083554011048705</v>
      </c>
      <c r="AL84" s="35">
        <v>78.907974999963756</v>
      </c>
      <c r="AM84" s="35">
        <v>82.041613212445441</v>
      </c>
      <c r="AN84" s="35">
        <v>79.915199999991955</v>
      </c>
      <c r="AP84" s="35">
        <v>5.2758442678555184</v>
      </c>
      <c r="AQ84" s="35">
        <v>43.962175000005828</v>
      </c>
      <c r="AR84" s="35">
        <v>22.307756476683039</v>
      </c>
      <c r="AS84" s="35">
        <v>22.286709677422607</v>
      </c>
      <c r="AU84" s="3">
        <v>14.468169051264795</v>
      </c>
      <c r="AV84" s="3">
        <v>21.921425000017052</v>
      </c>
      <c r="AW84" s="3">
        <v>58.410942227971191</v>
      </c>
      <c r="AX84" s="3">
        <v>63.313703225799372</v>
      </c>
      <c r="AY84" s="3"/>
      <c r="AZ84" s="3">
        <v>208.25824750462107</v>
      </c>
      <c r="BA84" s="3">
        <v>161.95459999965533</v>
      </c>
      <c r="BB84" s="3">
        <v>838.91298056985215</v>
      </c>
      <c r="BC84" s="3">
        <v>947.28464516124404</v>
      </c>
      <c r="BD84" s="3"/>
      <c r="BE84" s="3">
        <v>1.7241959143328813</v>
      </c>
      <c r="BF84" s="3">
        <v>1.5819000000034293</v>
      </c>
      <c r="BG84" s="3">
        <v>8.129826943005213</v>
      </c>
      <c r="BH84" s="3">
        <v>6.5413161290325945</v>
      </c>
      <c r="BI84" s="3"/>
      <c r="BJ84" s="3">
        <f>IF(Stappen!$BJ$24=OR(1,2),CA84,CF84)</f>
        <v>1.3650662661108868</v>
      </c>
      <c r="BK84" s="3">
        <f>IF(Stappen!$BJ$24=OR(1,2),CB84,CG84)</f>
        <v>7.1728499999977089</v>
      </c>
      <c r="BL84" s="3">
        <f>IF(Stappen!$BJ$24=OR(1,2),CC84,CH84)</f>
        <v>5.5469313471518262</v>
      </c>
      <c r="BM84" s="3">
        <f>IF(Stappen!$BJ$24=OR(1,2),CD84,CI84)</f>
        <v>6.2466580645169216</v>
      </c>
      <c r="BN84" s="3"/>
      <c r="CA84" s="526">
        <v>1.3650662661110005</v>
      </c>
      <c r="CB84" s="526">
        <v>7.1728499999848907</v>
      </c>
      <c r="CC84" s="526">
        <v>5.5469313471484156</v>
      </c>
      <c r="CD84" s="526">
        <v>6.2466580645169216</v>
      </c>
      <c r="CE84" s="526"/>
      <c r="CF84" s="526">
        <v>1.3650662661108868</v>
      </c>
      <c r="CG84" s="526">
        <v>7.1728499999977089</v>
      </c>
      <c r="CH84" s="526">
        <v>5.5469313471518262</v>
      </c>
      <c r="CI84" s="526">
        <v>6.2466580645169216</v>
      </c>
      <c r="CJ84" s="526"/>
    </row>
    <row r="85" spans="34:88" ht="15" x14ac:dyDescent="0.25">
      <c r="AH85" s="290" t="s">
        <v>60</v>
      </c>
      <c r="AI85" s="290"/>
      <c r="AJ85" s="35">
        <f t="shared" si="87"/>
        <v>12</v>
      </c>
      <c r="AK85" s="35"/>
      <c r="AL85" s="35"/>
      <c r="AM85" s="35"/>
      <c r="AN85" s="35"/>
      <c r="AP85" s="35"/>
      <c r="AQ85" s="35"/>
      <c r="AR85" s="35"/>
      <c r="AS85" s="35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CA85" s="526"/>
      <c r="CB85" s="526"/>
      <c r="CC85" s="526"/>
      <c r="CD85" s="526"/>
      <c r="CE85" s="526"/>
      <c r="CF85" s="526"/>
      <c r="CG85" s="526"/>
      <c r="CH85" s="526"/>
      <c r="CI85" s="526"/>
      <c r="CJ85" s="526"/>
    </row>
    <row r="86" spans="34:88" ht="15" x14ac:dyDescent="0.25">
      <c r="AH86" s="291" t="s">
        <v>300</v>
      </c>
      <c r="AI86" s="291"/>
      <c r="AJ86" s="35">
        <f t="shared" si="87"/>
        <v>13</v>
      </c>
      <c r="AK86" s="35">
        <v>16.371814537044997</v>
      </c>
      <c r="AL86" s="35">
        <v>49.632269475316207</v>
      </c>
      <c r="AM86" s="35">
        <v>34.924653888903777</v>
      </c>
      <c r="AN86" s="35">
        <v>95.785105583369955</v>
      </c>
      <c r="AP86" s="35">
        <v>4.4310117515405523</v>
      </c>
      <c r="AQ86" s="35">
        <v>12.064479128099379</v>
      </c>
      <c r="AR86" s="35">
        <v>6.7599490972168041</v>
      </c>
      <c r="AS86" s="35">
        <v>22.200523055568823</v>
      </c>
      <c r="AU86" s="3">
        <v>8.0042220602053931</v>
      </c>
      <c r="AV86" s="3">
        <v>32.215042237648959</v>
      </c>
      <c r="AW86" s="3">
        <v>19.35009520835365</v>
      </c>
      <c r="AX86" s="3">
        <v>67.014060444429447</v>
      </c>
      <c r="AY86" s="3"/>
      <c r="AZ86" s="3">
        <v>113.33332782421803</v>
      </c>
      <c r="BA86" s="3">
        <v>246.3651990353037</v>
      </c>
      <c r="BB86" s="3">
        <v>166.27905513904443</v>
      </c>
      <c r="BC86" s="3">
        <v>430.0606681943309</v>
      </c>
      <c r="BD86" s="3"/>
      <c r="BE86" s="3">
        <v>2.5860253317906654</v>
      </c>
      <c r="BF86" s="3">
        <v>22.311674799382303</v>
      </c>
      <c r="BG86" s="3">
        <v>10.827737986110179</v>
      </c>
      <c r="BH86" s="3">
        <v>44.253120861108158</v>
      </c>
      <c r="BI86" s="3"/>
      <c r="BJ86" s="3">
        <f>IF(Stappen!$BJ$24=OR(1,2),CA86,CF86)</f>
        <v>2.6886276851815296</v>
      </c>
      <c r="BK86" s="3">
        <f>IF(Stappen!$BJ$24=OR(1,2),CB86,CG86)</f>
        <v>3.5503682685207423</v>
      </c>
      <c r="BL86" s="3">
        <f>IF(Stappen!$BJ$24=OR(1,2),CC86,CH86)</f>
        <v>2.6006161111143626</v>
      </c>
      <c r="BM86" s="3">
        <f>IF(Stappen!$BJ$24=OR(1,2),CD86,CI86)</f>
        <v>4.2764362222207382</v>
      </c>
      <c r="BN86" s="3"/>
      <c r="CA86" s="526">
        <v>3.803748055557719</v>
      </c>
      <c r="CB86" s="526">
        <v>5.325811978387776</v>
      </c>
      <c r="CC86" s="526">
        <v>3.8218973611111551</v>
      </c>
      <c r="CD86" s="526">
        <v>6.4190429999987089</v>
      </c>
      <c r="CE86" s="526"/>
      <c r="CF86" s="526">
        <v>2.6886276851815296</v>
      </c>
      <c r="CG86" s="526">
        <v>3.5503682685207423</v>
      </c>
      <c r="CH86" s="526">
        <v>2.6006161111143626</v>
      </c>
      <c r="CI86" s="526">
        <v>4.2764362222207382</v>
      </c>
      <c r="CJ86" s="526"/>
    </row>
    <row r="87" spans="34:88" ht="15" x14ac:dyDescent="0.25">
      <c r="AH87" s="291" t="s">
        <v>268</v>
      </c>
      <c r="AI87" s="291"/>
      <c r="AJ87" s="35">
        <f t="shared" si="87"/>
        <v>14</v>
      </c>
      <c r="AK87" s="42">
        <v>475.98420000006456</v>
      </c>
      <c r="AL87" s="42">
        <v>720.37888888890541</v>
      </c>
      <c r="AM87" s="35">
        <v>662.38840000005439</v>
      </c>
      <c r="AN87" s="35">
        <v>0</v>
      </c>
      <c r="AP87" s="42">
        <v>110.06224999998813</v>
      </c>
      <c r="AQ87" s="42">
        <v>163.33611111117841</v>
      </c>
      <c r="AR87" s="35">
        <v>97.054500000027474</v>
      </c>
      <c r="AS87" s="35">
        <v>0</v>
      </c>
      <c r="AU87" s="274">
        <v>359.48919999995269</v>
      </c>
      <c r="AV87" s="274">
        <v>414.01222222200067</v>
      </c>
      <c r="AW87" s="3">
        <v>302.86340000003111</v>
      </c>
      <c r="AX87" s="3">
        <v>0</v>
      </c>
      <c r="AY87" s="3"/>
      <c r="AZ87" s="274">
        <v>4694.2072500009081</v>
      </c>
      <c r="BA87" s="274">
        <v>3367.7861111093735</v>
      </c>
      <c r="BB87" s="3">
        <v>2451.0544999986887</v>
      </c>
      <c r="BC87" s="3">
        <v>0</v>
      </c>
      <c r="BD87" s="3"/>
      <c r="BE87" s="274">
        <v>113.10919999999169</v>
      </c>
      <c r="BF87" s="274">
        <v>222.65111111110954</v>
      </c>
      <c r="BG87" s="3">
        <v>182.1533999999665</v>
      </c>
      <c r="BH87" s="3">
        <v>0</v>
      </c>
      <c r="BI87" s="3"/>
      <c r="BJ87" s="274">
        <f>IF(Stappen!$BJ$24=OR(1,2),CA87,CF87)</f>
        <v>41.0625</v>
      </c>
      <c r="BK87" s="274">
        <f>IF(Stappen!$BJ$24=OR(1,2),CB87,CG87)</f>
        <v>32.56597222223516</v>
      </c>
      <c r="BL87" s="3">
        <f>IF(Stappen!$BJ$24=OR(1,2),CC87,CH87)</f>
        <v>23.537499999976717</v>
      </c>
      <c r="BM87" s="3">
        <f>IF(Stappen!$BJ$24=OR(1,2),CD87,CI87)</f>
        <v>0</v>
      </c>
      <c r="BN87" s="3"/>
      <c r="CA87" s="526">
        <v>61.758000000030734</v>
      </c>
      <c r="CB87" s="526">
        <v>48.979222222308948</v>
      </c>
      <c r="CC87" s="526">
        <v>35.400400000042282</v>
      </c>
      <c r="CD87" s="526">
        <v>0</v>
      </c>
      <c r="CE87" s="526"/>
      <c r="CF87" s="526">
        <v>41.0625</v>
      </c>
      <c r="CG87" s="526">
        <v>32.56597222223516</v>
      </c>
      <c r="CH87" s="526">
        <v>23.537499999976717</v>
      </c>
      <c r="CI87" s="526">
        <v>0</v>
      </c>
      <c r="CJ87" s="526"/>
    </row>
    <row r="88" spans="34:88" ht="15" x14ac:dyDescent="0.25">
      <c r="AH88" s="291" t="s">
        <v>301</v>
      </c>
      <c r="AI88" s="291"/>
      <c r="AJ88" s="35">
        <f t="shared" si="87"/>
        <v>15</v>
      </c>
      <c r="AK88" s="42">
        <v>53.740000000270129</v>
      </c>
      <c r="AL88" s="42">
        <v>65.005000000167684</v>
      </c>
      <c r="AM88" s="35">
        <v>48.976261247862112</v>
      </c>
      <c r="AN88" s="42">
        <v>192.03981666695586</v>
      </c>
      <c r="AP88" s="42">
        <v>12.827499999915005</v>
      </c>
      <c r="AQ88" s="42">
        <v>6.4825000000011528</v>
      </c>
      <c r="AR88" s="35">
        <v>4.9436174400099162</v>
      </c>
      <c r="AS88" s="42">
        <v>15.379649999989311</v>
      </c>
      <c r="AT88" s="35"/>
      <c r="AU88" s="274">
        <v>28.549999999755528</v>
      </c>
      <c r="AV88" s="274">
        <v>18.034999999625143</v>
      </c>
      <c r="AW88" s="3">
        <v>29.999825248245997</v>
      </c>
      <c r="AX88" s="274">
        <v>43.293983333317215</v>
      </c>
      <c r="AY88" s="3"/>
      <c r="AZ88" s="274">
        <v>727.26999999731743</v>
      </c>
      <c r="BA88" s="274">
        <v>499.95999999679589</v>
      </c>
      <c r="BB88" s="3">
        <v>148.95462843833047</v>
      </c>
      <c r="BC88" s="274">
        <v>783.76385000103801</v>
      </c>
      <c r="BD88" s="3"/>
      <c r="BE88" s="274">
        <v>3.1349999999991383</v>
      </c>
      <c r="BF88" s="274">
        <v>1.8699999999706165</v>
      </c>
      <c r="BG88" s="3">
        <v>18.603136248010458</v>
      </c>
      <c r="BH88" s="274">
        <v>7.3251166666623817</v>
      </c>
      <c r="BI88" s="3"/>
      <c r="BJ88" s="274">
        <f>IF(Stappen!$BJ$24=OR(1,2),CA88,CF88)</f>
        <v>6.7312500000581963</v>
      </c>
      <c r="BK88" s="274">
        <f>IF(Stappen!$BJ$24=OR(1,2),CB88,CG88)</f>
        <v>1.7662500000325849</v>
      </c>
      <c r="BL88" s="3">
        <f>IF(Stappen!$BJ$24=OR(1,2),CC88,CH88)</f>
        <v>2.7443219999978226</v>
      </c>
      <c r="BM88" s="274">
        <f>IF(Stappen!$BJ$24=OR(1,2),CD88,CI88)</f>
        <v>3.3576333333634665</v>
      </c>
      <c r="BN88" s="3"/>
      <c r="CA88" s="526">
        <v>7.1678000000654833</v>
      </c>
      <c r="CB88" s="526">
        <v>2.2028000000980796</v>
      </c>
      <c r="CC88" s="526">
        <v>2.8608720000186167</v>
      </c>
      <c r="CD88" s="526">
        <v>3.5145291665743486</v>
      </c>
      <c r="CE88" s="526"/>
      <c r="CF88" s="526">
        <v>6.7312500000581963</v>
      </c>
      <c r="CG88" s="526">
        <v>1.7662500000325849</v>
      </c>
      <c r="CH88" s="526">
        <v>2.7443219999978226</v>
      </c>
      <c r="CI88" s="526">
        <v>3.3576333333634665</v>
      </c>
      <c r="CJ88" s="526"/>
    </row>
    <row r="89" spans="34:88" ht="15" x14ac:dyDescent="0.25">
      <c r="AH89" s="290" t="s">
        <v>53</v>
      </c>
      <c r="AI89" s="290"/>
      <c r="AJ89" s="35">
        <f t="shared" si="87"/>
        <v>16</v>
      </c>
      <c r="AK89" s="34"/>
      <c r="AL89" s="34"/>
      <c r="AM89" s="34"/>
      <c r="AN89" s="34"/>
      <c r="AP89" s="34"/>
      <c r="AQ89" s="34"/>
      <c r="AR89" s="34"/>
      <c r="AS89" s="34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>
        <f>IF(Stappen!$BJ$24=OR(1,2),CA89,CF89)</f>
        <v>0</v>
      </c>
      <c r="BK89" s="3">
        <f>IF(Stappen!$BJ$24=OR(1,2),CB89,CG89)</f>
        <v>0</v>
      </c>
      <c r="BL89" s="3">
        <f>IF(Stappen!$BJ$24=OR(1,2),CC89,CH89)</f>
        <v>0</v>
      </c>
      <c r="BM89" s="3">
        <f>IF(Stappen!$BJ$24=OR(1,2),CD89,CI89)</f>
        <v>0</v>
      </c>
      <c r="BN89" s="3"/>
      <c r="CA89" s="526"/>
      <c r="CB89" s="526"/>
      <c r="CC89" s="526"/>
      <c r="CD89" s="526"/>
      <c r="CE89" s="526"/>
      <c r="CF89" s="526"/>
      <c r="CG89" s="526"/>
      <c r="CH89" s="526"/>
      <c r="CI89" s="526"/>
      <c r="CJ89" s="526"/>
    </row>
    <row r="90" spans="34:88" ht="15" x14ac:dyDescent="0.25">
      <c r="AH90" s="291" t="s">
        <v>420</v>
      </c>
      <c r="AI90" s="291"/>
      <c r="AJ90" s="35">
        <f t="shared" si="87"/>
        <v>17</v>
      </c>
      <c r="AK90" s="42">
        <v>128.87499999976717</v>
      </c>
      <c r="AL90" s="42">
        <v>125.53300000005402</v>
      </c>
      <c r="AM90" s="42">
        <v>103.53260000026785</v>
      </c>
      <c r="AN90" s="42">
        <v>52.50323999999091</v>
      </c>
      <c r="AP90" s="42">
        <v>21.342300000024238</v>
      </c>
      <c r="AQ90" s="42">
        <v>22.102499999979045</v>
      </c>
      <c r="AR90" s="42">
        <v>16.710500000044703</v>
      </c>
      <c r="AS90" s="42">
        <v>6.6126999999396503</v>
      </c>
      <c r="AT90" s="35"/>
      <c r="AU90" s="274">
        <v>101.49509999993029</v>
      </c>
      <c r="AV90" s="274">
        <v>62.763000000151806</v>
      </c>
      <c r="AW90" s="274">
        <v>47.762599999899976</v>
      </c>
      <c r="AX90" s="274">
        <v>39.555240000016056</v>
      </c>
      <c r="AY90" s="3"/>
      <c r="AZ90" s="274">
        <v>1226.148599999211</v>
      </c>
      <c r="BA90" s="274">
        <v>1060.5025000032037</v>
      </c>
      <c r="BB90" s="274">
        <v>662.77549999766052</v>
      </c>
      <c r="BC90" s="274">
        <v>174.18769999966025</v>
      </c>
      <c r="BD90" s="3"/>
      <c r="BE90" s="274">
        <v>37.366850000000056</v>
      </c>
      <c r="BF90" s="274">
        <v>18.018000000025495</v>
      </c>
      <c r="BG90" s="274">
        <v>10.662599999996019</v>
      </c>
      <c r="BH90" s="274">
        <v>29.575239999991027</v>
      </c>
      <c r="BI90" s="3"/>
      <c r="BJ90" s="274">
        <f>IF(Stappen!$BJ$24=OR(1,2),CA90,CF90)</f>
        <v>6.4736000000557397</v>
      </c>
      <c r="BK90" s="274">
        <f>IF(Stappen!$BJ$24=OR(1,2),CB90,CG90)</f>
        <v>9.8100000000267755</v>
      </c>
      <c r="BL90" s="274">
        <f>IF(Stappen!$BJ$24=OR(1,2),CC90,CH90)</f>
        <v>3.8650000000197906</v>
      </c>
      <c r="BM90" s="274">
        <f>IF(Stappen!$BJ$24=OR(1,2),CD90,CI90)</f>
        <v>1.1190000000060536</v>
      </c>
      <c r="BN90" s="3"/>
      <c r="CA90" s="526">
        <v>6.4735999999684282</v>
      </c>
      <c r="CB90" s="526">
        <v>9.8099999999976717</v>
      </c>
      <c r="CC90" s="526">
        <v>3.8650000000488944</v>
      </c>
      <c r="CD90" s="526">
        <v>1.1190000000060536</v>
      </c>
      <c r="CE90" s="526"/>
      <c r="CF90" s="526">
        <v>6.4736000000557397</v>
      </c>
      <c r="CG90" s="526">
        <v>9.8100000000267755</v>
      </c>
      <c r="CH90" s="526">
        <v>3.8650000000197906</v>
      </c>
      <c r="CI90" s="526">
        <v>1.1190000000060536</v>
      </c>
      <c r="CJ90" s="526"/>
    </row>
    <row r="91" spans="34:88" ht="15" x14ac:dyDescent="0.25">
      <c r="AH91" s="291" t="s">
        <v>302</v>
      </c>
      <c r="AI91" s="291"/>
      <c r="AJ91" s="35">
        <f t="shared" si="87"/>
        <v>18</v>
      </c>
      <c r="AK91" s="42">
        <v>410.23919589984621</v>
      </c>
      <c r="AL91" s="42">
        <v>456.71633899982476</v>
      </c>
      <c r="AM91" s="42">
        <v>475.13604899986422</v>
      </c>
      <c r="AN91" s="42">
        <v>511.33622549967765</v>
      </c>
      <c r="AP91" s="42">
        <v>136.35098800001089</v>
      </c>
      <c r="AQ91" s="42">
        <v>119.17207100005618</v>
      </c>
      <c r="AR91" s="42">
        <v>74.755271000073662</v>
      </c>
      <c r="AS91" s="42">
        <v>197.72534099987172</v>
      </c>
      <c r="AU91" s="274">
        <v>203.2401491003036</v>
      </c>
      <c r="AV91" s="274">
        <v>360.47666900034005</v>
      </c>
      <c r="AW91" s="274">
        <v>245.96089400021333</v>
      </c>
      <c r="AX91" s="274">
        <v>365.53789970035496</v>
      </c>
      <c r="AY91" s="3"/>
      <c r="AZ91" s="274">
        <v>2254.5031251023447</v>
      </c>
      <c r="BA91" s="274">
        <v>4172.7081835003792</v>
      </c>
      <c r="BB91" s="274">
        <v>2598.3943485035561</v>
      </c>
      <c r="BC91" s="274">
        <v>4746.2526731008466</v>
      </c>
      <c r="BD91" s="3"/>
      <c r="BE91" s="274">
        <v>78.227923899948905</v>
      </c>
      <c r="BF91" s="274">
        <v>126.65052699992992</v>
      </c>
      <c r="BG91" s="274">
        <v>117.27133199996371</v>
      </c>
      <c r="BH91" s="274">
        <v>97.946096499956866</v>
      </c>
      <c r="BI91" s="3"/>
      <c r="BJ91" s="274">
        <f>IF(Stappen!$BJ$24=OR(1,2),CA91,CF91)</f>
        <v>39.609733199974357</v>
      </c>
      <c r="BK91" s="274">
        <f>IF(Stappen!$BJ$24=OR(1,2),CB91,CG91)</f>
        <v>97.097785800000565</v>
      </c>
      <c r="BL91" s="274">
        <f>IF(Stappen!$BJ$24=OR(1,2),CC91,CH91)</f>
        <v>39.731742750020544</v>
      </c>
      <c r="BM91" s="274">
        <f>IF(Stappen!$BJ$24=OR(1,2),CD91,CI91)</f>
        <v>94.987894030000618</v>
      </c>
      <c r="BN91" s="3"/>
      <c r="CA91" s="526">
        <v>56.98241789006363</v>
      </c>
      <c r="CB91" s="526">
        <v>143.1866131999916</v>
      </c>
      <c r="CC91" s="526">
        <v>57.209941099965135</v>
      </c>
      <c r="CD91" s="526">
        <v>124.49505930011014</v>
      </c>
      <c r="CE91" s="526"/>
      <c r="CF91" s="526">
        <v>39.609733199974357</v>
      </c>
      <c r="CG91" s="526">
        <v>97.097785800000565</v>
      </c>
      <c r="CH91" s="526">
        <v>39.731742750020544</v>
      </c>
      <c r="CI91" s="526">
        <v>94.987894030000618</v>
      </c>
      <c r="CJ91" s="526"/>
    </row>
    <row r="92" spans="34:88" ht="15" x14ac:dyDescent="0.25">
      <c r="AH92" s="291" t="s">
        <v>303</v>
      </c>
      <c r="AI92" s="291"/>
      <c r="AJ92" s="35">
        <f t="shared" si="87"/>
        <v>19</v>
      </c>
      <c r="AK92" s="35">
        <v>93.777750000124797</v>
      </c>
      <c r="AL92" s="35">
        <v>110.87079999991693</v>
      </c>
      <c r="AM92" s="35">
        <v>110.11913333367556</v>
      </c>
      <c r="AN92" s="35">
        <v>87.689687999896705</v>
      </c>
      <c r="AP92" s="35">
        <v>6.3982499999110587</v>
      </c>
      <c r="AQ92" s="35">
        <v>8.8060000000405125</v>
      </c>
      <c r="AR92" s="35">
        <v>15.499416666745674</v>
      </c>
      <c r="AS92" s="35">
        <v>16.520740000007208</v>
      </c>
      <c r="AU92" s="3">
        <v>34.04100000008475</v>
      </c>
      <c r="AV92" s="3">
        <v>32.921799999778159</v>
      </c>
      <c r="AW92" s="3">
        <v>89.440800000098534</v>
      </c>
      <c r="AX92" s="3">
        <v>72.572488000267185</v>
      </c>
      <c r="AY92" s="3"/>
      <c r="AZ92" s="3">
        <v>150.03149999864399</v>
      </c>
      <c r="BA92" s="3">
        <v>287.5</v>
      </c>
      <c r="BB92" s="3">
        <v>564.3294166661799</v>
      </c>
      <c r="BC92" s="3">
        <v>1458.3805400021374</v>
      </c>
      <c r="BD92" s="3"/>
      <c r="BE92" s="3">
        <v>26.107500000012806</v>
      </c>
      <c r="BF92" s="3">
        <v>15.387800000011339</v>
      </c>
      <c r="BG92" s="3">
        <v>72.909133333349018</v>
      </c>
      <c r="BH92" s="3">
        <v>30.552288000006229</v>
      </c>
      <c r="BI92" s="3"/>
      <c r="BJ92" s="3">
        <f>IF(Stappen!$BJ$24=OR(1,2),CA92,CF92)</f>
        <v>4.104749999998603</v>
      </c>
      <c r="BK92" s="3">
        <f>IF(Stappen!$BJ$24=OR(1,2),CB92,CG92)</f>
        <v>1.7460000000428408</v>
      </c>
      <c r="BL92" s="3">
        <f>IF(Stappen!$BJ$24=OR(1,2),CC92,CH92)</f>
        <v>0</v>
      </c>
      <c r="BM92" s="3">
        <f>IF(Stappen!$BJ$24=OR(1,2),CD92,CI92)</f>
        <v>3.2338000000163447</v>
      </c>
      <c r="BN92" s="3"/>
      <c r="CA92" s="526">
        <v>6.1571249999688007</v>
      </c>
      <c r="CB92" s="526">
        <v>2.1824999999953434</v>
      </c>
      <c r="CC92" s="526">
        <v>0</v>
      </c>
      <c r="CD92" s="526">
        <v>3.2337999999872409</v>
      </c>
      <c r="CE92" s="526"/>
      <c r="CF92" s="526">
        <v>4.104749999998603</v>
      </c>
      <c r="CG92" s="526">
        <v>1.7460000000428408</v>
      </c>
      <c r="CH92" s="526">
        <v>0</v>
      </c>
      <c r="CI92" s="526">
        <v>3.2338000000163447</v>
      </c>
      <c r="CJ92" s="526"/>
    </row>
    <row r="93" spans="34:88" ht="15" x14ac:dyDescent="0.25">
      <c r="AH93" s="290" t="s">
        <v>54</v>
      </c>
      <c r="AI93" s="290"/>
      <c r="AJ93" s="35">
        <f t="shared" si="87"/>
        <v>20</v>
      </c>
      <c r="AK93" s="34"/>
      <c r="AL93" s="34"/>
      <c r="AM93" s="34"/>
      <c r="AN93" s="34"/>
      <c r="AP93" s="34"/>
      <c r="AQ93" s="34"/>
      <c r="AR93" s="34"/>
      <c r="AS93" s="34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CA93" s="526"/>
      <c r="CB93" s="526"/>
      <c r="CC93" s="526"/>
      <c r="CD93" s="526"/>
      <c r="CE93" s="526"/>
      <c r="CF93" s="526"/>
      <c r="CG93" s="526"/>
      <c r="CH93" s="526"/>
      <c r="CI93" s="526"/>
      <c r="CJ93" s="526"/>
    </row>
    <row r="94" spans="34:88" ht="15" x14ac:dyDescent="0.25">
      <c r="AH94" s="291" t="s">
        <v>421</v>
      </c>
      <c r="AI94" s="291"/>
      <c r="AJ94" s="35">
        <f t="shared" si="87"/>
        <v>21</v>
      </c>
      <c r="AK94" s="35">
        <v>84.9910000001546</v>
      </c>
      <c r="AL94" s="35">
        <v>43.322999999974854</v>
      </c>
      <c r="AM94" s="35">
        <v>71.348549999995157</v>
      </c>
      <c r="AN94" s="35">
        <v>64.499999999941792</v>
      </c>
      <c r="AP94" s="35">
        <v>10.098000000056345</v>
      </c>
      <c r="AQ94" s="35">
        <v>7.6987500000104774</v>
      </c>
      <c r="AR94" s="35">
        <v>9.116500000061933</v>
      </c>
      <c r="AS94" s="35">
        <v>11.327500000028522</v>
      </c>
      <c r="AU94" s="3">
        <v>35.262500000069849</v>
      </c>
      <c r="AV94" s="3">
        <v>38.106749999918975</v>
      </c>
      <c r="AW94" s="3">
        <v>37.948049999948125</v>
      </c>
      <c r="AX94" s="3">
        <v>35.288749999948777</v>
      </c>
      <c r="AY94" s="3"/>
      <c r="AZ94" s="3">
        <v>365.79674999974668</v>
      </c>
      <c r="BA94" s="3">
        <v>474.54124999931082</v>
      </c>
      <c r="BB94" s="3">
        <v>557.86975000053644</v>
      </c>
      <c r="BC94" s="3">
        <v>662.64500000234693</v>
      </c>
      <c r="BD94" s="3"/>
      <c r="BE94" s="3">
        <v>7.8564999999944121</v>
      </c>
      <c r="BF94" s="3">
        <v>15.47799999999188</v>
      </c>
      <c r="BG94" s="3">
        <v>10.656550000017887</v>
      </c>
      <c r="BH94" s="3">
        <v>3.242500000000291</v>
      </c>
      <c r="BI94" s="3"/>
      <c r="BJ94" s="3">
        <f>IF(Stappen!$BJ$24=OR(1,2),CA94,CF94)</f>
        <v>3.3977500000037253</v>
      </c>
      <c r="BK94" s="3">
        <f>IF(Stappen!$BJ$24=OR(1,2),CB94,CG94)</f>
        <v>1.7187500000363798</v>
      </c>
      <c r="BL94" s="3">
        <f>IF(Stappen!$BJ$24=OR(1,2),CC94,CH94)</f>
        <v>3.0639999999621068</v>
      </c>
      <c r="BM94" s="3">
        <f>IF(Stappen!$BJ$24=OR(1,2),CD94,CI94)</f>
        <v>1.9600000000282307</v>
      </c>
      <c r="BN94" s="3"/>
      <c r="CA94" s="526">
        <v>3.3977500000037253</v>
      </c>
      <c r="CB94" s="526">
        <v>1.71875</v>
      </c>
      <c r="CC94" s="526">
        <v>3.0639999999693828</v>
      </c>
      <c r="CD94" s="526">
        <v>1.9600000000209548</v>
      </c>
      <c r="CE94" s="526"/>
      <c r="CF94" s="526">
        <v>3.3977500000037253</v>
      </c>
      <c r="CG94" s="526">
        <v>1.7187500000363798</v>
      </c>
      <c r="CH94" s="526">
        <v>3.0639999999621068</v>
      </c>
      <c r="CI94" s="526">
        <v>1.9600000000282307</v>
      </c>
      <c r="CJ94" s="526"/>
    </row>
    <row r="95" spans="34:88" ht="15" x14ac:dyDescent="0.25">
      <c r="AH95" s="291" t="s">
        <v>304</v>
      </c>
      <c r="AI95" s="291"/>
      <c r="AJ95" s="35">
        <f t="shared" si="87"/>
        <v>22</v>
      </c>
      <c r="AK95" s="35">
        <v>136.62155000010171</v>
      </c>
      <c r="AL95" s="35">
        <v>241.64098166673239</v>
      </c>
      <c r="AM95" s="35">
        <v>354.27165555552756</v>
      </c>
      <c r="AN95" s="35">
        <v>341.47230000001537</v>
      </c>
      <c r="AP95" s="35">
        <v>24.552591666646208</v>
      </c>
      <c r="AQ95" s="35">
        <v>53.049033333451348</v>
      </c>
      <c r="AR95" s="35">
        <v>77.376805555634178</v>
      </c>
      <c r="AS95" s="35">
        <v>99.481138888962505</v>
      </c>
      <c r="AU95" s="3">
        <v>82.559366666684582</v>
      </c>
      <c r="AV95" s="3">
        <v>148.81110166665553</v>
      </c>
      <c r="AW95" s="3">
        <v>213.60148888881736</v>
      </c>
      <c r="AX95" s="3">
        <v>299.81602222213724</v>
      </c>
      <c r="AY95" s="3"/>
      <c r="AZ95" s="3">
        <v>1023.6846583329498</v>
      </c>
      <c r="BA95" s="3">
        <v>2191.8973099999166</v>
      </c>
      <c r="BB95" s="3">
        <v>2363.548361109275</v>
      </c>
      <c r="BC95" s="3">
        <v>3740.5278055523813</v>
      </c>
      <c r="BD95" s="3"/>
      <c r="BE95" s="3">
        <v>30.948050000002922</v>
      </c>
      <c r="BF95" s="3">
        <v>52.030148333343277</v>
      </c>
      <c r="BG95" s="3">
        <v>97.101711111099007</v>
      </c>
      <c r="BH95" s="3">
        <v>105.4250222222264</v>
      </c>
      <c r="BI95" s="3"/>
      <c r="BJ95" s="3">
        <f>IF(Stappen!$BJ$24=OR(1,2),CA95,CF95)</f>
        <v>7.6622625000183007</v>
      </c>
      <c r="BK95" s="3">
        <f>IF(Stappen!$BJ$24=OR(1,2),CB95,CG95)</f>
        <v>20.626528333315264</v>
      </c>
      <c r="BL95" s="3">
        <f>IF(Stappen!$BJ$24=OR(1,2),CC95,CH95)</f>
        <v>19.801819444454253</v>
      </c>
      <c r="BM95" s="3">
        <f>IF(Stappen!$BJ$24=OR(1,2),CD95,CI95)</f>
        <v>62.044041666643324</v>
      </c>
      <c r="BN95" s="3"/>
      <c r="CA95" s="526">
        <v>10.145340000024646</v>
      </c>
      <c r="CB95" s="526">
        <v>30.812367499993741</v>
      </c>
      <c r="CC95" s="526">
        <v>25.65108444439602</v>
      </c>
      <c r="CD95" s="526">
        <v>67.907026666702563</v>
      </c>
      <c r="CE95" s="526"/>
      <c r="CF95" s="526">
        <v>7.6622625000183007</v>
      </c>
      <c r="CG95" s="526">
        <v>20.626528333315264</v>
      </c>
      <c r="CH95" s="526">
        <v>19.801819444454253</v>
      </c>
      <c r="CI95" s="526">
        <v>62.044041666643324</v>
      </c>
      <c r="CJ95" s="526"/>
    </row>
    <row r="96" spans="34:88" ht="15" x14ac:dyDescent="0.25">
      <c r="AH96" s="291" t="s">
        <v>305</v>
      </c>
      <c r="AI96" s="291"/>
      <c r="AJ96" s="35">
        <f t="shared" si="87"/>
        <v>23</v>
      </c>
      <c r="AK96" s="35">
        <v>5.6283639999974184</v>
      </c>
      <c r="AL96" s="35">
        <v>5.6283639999974184</v>
      </c>
      <c r="AM96" s="35">
        <v>19.868363999941721</v>
      </c>
      <c r="AN96" s="35">
        <v>19.868363999941948</v>
      </c>
      <c r="AP96" s="35">
        <v>0.80798000000402226</v>
      </c>
      <c r="AQ96" s="35">
        <v>0.80798000000402226</v>
      </c>
      <c r="AR96" s="35">
        <v>2.2479799999947545</v>
      </c>
      <c r="AS96" s="35">
        <v>2.2479799999947545</v>
      </c>
      <c r="AU96" s="3">
        <v>4.7197890000152256</v>
      </c>
      <c r="AV96" s="3">
        <v>4.7197890000152256</v>
      </c>
      <c r="AW96" s="3">
        <v>8.5717889999705221</v>
      </c>
      <c r="AX96" s="3">
        <v>8.5717889999705221</v>
      </c>
      <c r="AY96" s="3"/>
      <c r="AZ96" s="3">
        <v>24.772565000050236</v>
      </c>
      <c r="BA96" s="3">
        <v>24.772565000050236</v>
      </c>
      <c r="BB96" s="3">
        <v>88.956565000407863</v>
      </c>
      <c r="BC96" s="3">
        <v>88.956565000407863</v>
      </c>
      <c r="BD96" s="3"/>
      <c r="BE96" s="3">
        <v>3.5448040000022729</v>
      </c>
      <c r="BF96" s="3">
        <v>3.5448040000022729</v>
      </c>
      <c r="BG96" s="3">
        <v>3.8968039999924713</v>
      </c>
      <c r="BH96" s="3">
        <v>3.8968039999924713</v>
      </c>
      <c r="BI96" s="3"/>
      <c r="BJ96" s="3">
        <f>IF(Stappen!$BJ$24=OR(1,2),CA96,CF96)</f>
        <v>0.16060249999770804</v>
      </c>
      <c r="BK96" s="3">
        <f>IF(Stappen!$BJ$24=OR(1,2),CB96,CG96)</f>
        <v>0.16060249999770804</v>
      </c>
      <c r="BL96" s="3">
        <f>IF(Stappen!$BJ$24=OR(1,2),CC96,CH96)</f>
        <v>0.28048250001063479</v>
      </c>
      <c r="BM96" s="3">
        <f>IF(Stappen!$BJ$24=OR(1,2),CD96,CI96)</f>
        <v>0.28048250001063479</v>
      </c>
      <c r="BN96" s="3"/>
      <c r="CA96" s="526">
        <v>0.18985339999710504</v>
      </c>
      <c r="CB96" s="526">
        <v>0.18985339999710504</v>
      </c>
      <c r="CC96" s="526">
        <v>0.36985340000177302</v>
      </c>
      <c r="CD96" s="526">
        <v>0.36985340000177302</v>
      </c>
      <c r="CE96" s="526"/>
      <c r="CF96" s="526">
        <v>0.16060249999770804</v>
      </c>
      <c r="CG96" s="526">
        <v>0.16060249999770804</v>
      </c>
      <c r="CH96" s="526">
        <v>0.28048250001063479</v>
      </c>
      <c r="CI96" s="526">
        <v>0.28048250001063479</v>
      </c>
      <c r="CJ96" s="526"/>
    </row>
    <row r="97" spans="34:88" ht="15" x14ac:dyDescent="0.25">
      <c r="AH97" s="290" t="s">
        <v>55</v>
      </c>
      <c r="AI97" s="290"/>
      <c r="AJ97" s="35">
        <f t="shared" si="87"/>
        <v>24</v>
      </c>
      <c r="AK97" s="34"/>
      <c r="AL97" s="34"/>
      <c r="AM97" s="34"/>
      <c r="AN97" s="34"/>
      <c r="AP97" s="34"/>
      <c r="AQ97" s="34"/>
      <c r="AR97" s="34"/>
      <c r="AS97" s="34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CA97" s="526"/>
      <c r="CB97" s="526"/>
      <c r="CC97" s="526"/>
      <c r="CD97" s="526"/>
      <c r="CE97" s="526"/>
      <c r="CF97" s="526"/>
      <c r="CG97" s="526"/>
      <c r="CH97" s="526"/>
      <c r="CI97" s="526"/>
      <c r="CJ97" s="526"/>
    </row>
    <row r="98" spans="34:88" ht="15" x14ac:dyDescent="0.25">
      <c r="AH98" s="291" t="s">
        <v>306</v>
      </c>
      <c r="AI98" s="291"/>
      <c r="AJ98" s="35">
        <f t="shared" si="87"/>
        <v>25</v>
      </c>
      <c r="AK98" s="35">
        <v>285.01244172221368</v>
      </c>
      <c r="AL98" s="35">
        <v>0</v>
      </c>
      <c r="AM98" s="35">
        <v>0</v>
      </c>
      <c r="AN98" s="35">
        <v>0</v>
      </c>
      <c r="AP98" s="35">
        <v>57.340884444434778</v>
      </c>
      <c r="AQ98" s="35">
        <v>0</v>
      </c>
      <c r="AR98" s="35">
        <v>0</v>
      </c>
      <c r="AS98" s="35">
        <v>0</v>
      </c>
      <c r="AU98" s="3">
        <v>184.91641172220488</v>
      </c>
      <c r="AV98" s="3">
        <v>0</v>
      </c>
      <c r="AW98" s="3">
        <v>0</v>
      </c>
      <c r="AX98" s="3">
        <v>0</v>
      </c>
      <c r="AY98" s="3"/>
      <c r="AZ98" s="3">
        <v>1737.9806702779606</v>
      </c>
      <c r="BA98" s="3">
        <v>0</v>
      </c>
      <c r="BB98" s="3">
        <v>0</v>
      </c>
      <c r="BC98" s="3">
        <v>0</v>
      </c>
      <c r="BD98" s="3"/>
      <c r="BE98" s="3">
        <v>33.934647555553966</v>
      </c>
      <c r="BF98" s="3">
        <v>0</v>
      </c>
      <c r="BG98" s="3">
        <v>0</v>
      </c>
      <c r="BH98" s="3">
        <v>0</v>
      </c>
      <c r="BI98" s="3"/>
      <c r="BJ98" s="3">
        <f>IF(Stappen!$BJ$24=OR(1,2),CA98,CF98)</f>
        <v>39.002326911114835</v>
      </c>
      <c r="BK98" s="3">
        <f>IF(Stappen!$BJ$24=OR(1,2),CB98,CG98)</f>
        <v>0</v>
      </c>
      <c r="BL98" s="3">
        <f>IF(Stappen!$BJ$24=OR(1,2),CC98,CH98)</f>
        <v>0</v>
      </c>
      <c r="BM98" s="3">
        <f>IF(Stappen!$BJ$24=OR(1,2),CD98,CI98)</f>
        <v>0</v>
      </c>
      <c r="BN98" s="3"/>
      <c r="CA98" s="526">
        <v>39.737043011119454</v>
      </c>
      <c r="CB98" s="526">
        <v>0</v>
      </c>
      <c r="CC98" s="526">
        <v>0</v>
      </c>
      <c r="CD98" s="526">
        <v>0</v>
      </c>
      <c r="CE98" s="526"/>
      <c r="CF98" s="526">
        <v>39.002326911114835</v>
      </c>
      <c r="CG98" s="526">
        <v>0</v>
      </c>
      <c r="CH98" s="526">
        <v>0</v>
      </c>
      <c r="CI98" s="526">
        <v>0</v>
      </c>
      <c r="CJ98" s="526"/>
    </row>
    <row r="99" spans="34:88" ht="15" x14ac:dyDescent="0.25">
      <c r="AH99" s="291" t="s">
        <v>307</v>
      </c>
      <c r="AI99" s="291"/>
      <c r="AJ99" s="35">
        <f t="shared" si="87"/>
        <v>26</v>
      </c>
      <c r="AK99" s="35">
        <v>301.38333333355467</v>
      </c>
      <c r="AL99" s="35">
        <v>22.030666666687466</v>
      </c>
      <c r="AM99" s="35">
        <v>165.52875999989919</v>
      </c>
      <c r="AN99" s="35">
        <v>165.52875999989942</v>
      </c>
      <c r="AP99" s="35">
        <v>109.88541666665697</v>
      </c>
      <c r="AQ99" s="35">
        <v>8.7924999999813735</v>
      </c>
      <c r="AR99" s="35">
        <v>53.243550000013784</v>
      </c>
      <c r="AS99" s="35">
        <v>53.243550000013784</v>
      </c>
      <c r="AU99" s="3">
        <v>185.98749999946449</v>
      </c>
      <c r="AV99" s="3">
        <v>15.429000000003725</v>
      </c>
      <c r="AW99" s="3">
        <v>118.51576000009686</v>
      </c>
      <c r="AX99" s="3">
        <v>118.51576000009663</v>
      </c>
      <c r="AY99" s="3"/>
      <c r="AZ99" s="3">
        <v>1668.8645833404735</v>
      </c>
      <c r="BA99" s="3">
        <v>78.844166666578531</v>
      </c>
      <c r="BB99" s="3">
        <v>534.93154999986291</v>
      </c>
      <c r="BC99" s="3">
        <v>534.93154999986291</v>
      </c>
      <c r="BD99" s="3"/>
      <c r="BE99" s="3">
        <v>112.59166666665499</v>
      </c>
      <c r="BF99" s="3">
        <v>11.600666666660459</v>
      </c>
      <c r="BG99" s="3">
        <v>91.199759999988601</v>
      </c>
      <c r="BH99" s="3">
        <v>91.199759999988601</v>
      </c>
      <c r="BI99" s="3"/>
      <c r="BJ99" s="3">
        <f>IF(Stappen!$BJ$24=OR(1,2),CA99,CF99)</f>
        <v>77.354583333241521</v>
      </c>
      <c r="BK99" s="3">
        <f>IF(Stappen!$BJ$24=OR(1,2),CB99,CG99)</f>
        <v>0.53708333332906477</v>
      </c>
      <c r="BL99" s="3">
        <f>IF(Stappen!$BJ$24=OR(1,2),CC99,CH99)</f>
        <v>2.9544999999925494</v>
      </c>
      <c r="BM99" s="3">
        <f>IF(Stappen!$BJ$24=OR(1,2),CD99,CI99)</f>
        <v>2.9544999999925494</v>
      </c>
      <c r="BN99" s="3"/>
      <c r="CA99" s="526">
        <v>89.562500000101863</v>
      </c>
      <c r="CB99" s="526">
        <v>0.63683333331329095</v>
      </c>
      <c r="CC99" s="526">
        <v>3.0981400000455324</v>
      </c>
      <c r="CD99" s="526">
        <v>3.0981400000455324</v>
      </c>
      <c r="CE99" s="526"/>
      <c r="CF99" s="526">
        <v>77.354583333241521</v>
      </c>
      <c r="CG99" s="526">
        <v>0.53708333332906477</v>
      </c>
      <c r="CH99" s="526">
        <v>2.9544999999925494</v>
      </c>
      <c r="CI99" s="526">
        <v>2.9544999999925494</v>
      </c>
      <c r="CJ99" s="526"/>
    </row>
    <row r="100" spans="34:88" ht="15" x14ac:dyDescent="0.25">
      <c r="AH100" s="291" t="s">
        <v>308</v>
      </c>
      <c r="AI100" s="291"/>
      <c r="AJ100" s="35">
        <f t="shared" si="87"/>
        <v>27</v>
      </c>
      <c r="AK100" s="35">
        <v>19.259659999953783</v>
      </c>
      <c r="AL100" s="35">
        <v>17.861659999971835</v>
      </c>
      <c r="AM100" s="35">
        <v>56.377299999978732</v>
      </c>
      <c r="AN100" s="35">
        <v>48.571859999976823</v>
      </c>
      <c r="AP100" s="35">
        <v>2.6405999999889218</v>
      </c>
      <c r="AQ100" s="35">
        <v>2.570849999990287</v>
      </c>
      <c r="AR100" s="35">
        <v>12.098299999993742</v>
      </c>
      <c r="AS100" s="35">
        <v>10.130749999971499</v>
      </c>
      <c r="AU100" s="3">
        <v>10.520460000105686</v>
      </c>
      <c r="AV100" s="3">
        <v>9.9612600000878047</v>
      </c>
      <c r="AW100" s="3">
        <v>40.972400000046036</v>
      </c>
      <c r="AX100" s="3">
        <v>34.352959999910126</v>
      </c>
      <c r="AY100" s="3"/>
      <c r="AZ100" s="3">
        <v>124.82280000101673</v>
      </c>
      <c r="BA100" s="3">
        <v>124.75305000092703</v>
      </c>
      <c r="BB100" s="3">
        <v>639.92180000174994</v>
      </c>
      <c r="BC100" s="3">
        <v>531.38185000065641</v>
      </c>
      <c r="BD100" s="3"/>
      <c r="BE100" s="3">
        <v>3.3715599999975439</v>
      </c>
      <c r="BF100" s="3">
        <v>2.8123600000005808</v>
      </c>
      <c r="BG100" s="3">
        <v>6.1256999999957316</v>
      </c>
      <c r="BH100" s="3">
        <v>5.327460000011115</v>
      </c>
      <c r="BI100" s="3"/>
      <c r="BJ100" s="3">
        <f>IF(Stappen!$BJ$24=OR(1,2),CA100,CF100)</f>
        <v>0.90059999999527918</v>
      </c>
      <c r="BK100" s="3">
        <f>IF(Stappen!$BJ$24=OR(1,2),CB100,CG100)</f>
        <v>0.90059999999880347</v>
      </c>
      <c r="BL100" s="3">
        <f>IF(Stappen!$BJ$24=OR(1,2),CC100,CH100)</f>
        <v>11.867954999980896</v>
      </c>
      <c r="BM100" s="3">
        <f>IF(Stappen!$BJ$24=OR(1,2),CD100,CI100)</f>
        <v>9.5018989999854284</v>
      </c>
      <c r="BN100" s="3"/>
      <c r="CA100" s="526">
        <v>0.93089999999381234</v>
      </c>
      <c r="CB100" s="526">
        <v>0.93089999999909878</v>
      </c>
      <c r="CC100" s="526">
        <v>17.398399999978096</v>
      </c>
      <c r="CD100" s="526">
        <v>13.812399999971376</v>
      </c>
      <c r="CE100" s="526"/>
      <c r="CF100" s="526">
        <v>0.90059999999527918</v>
      </c>
      <c r="CG100" s="526">
        <v>0.90059999999880347</v>
      </c>
      <c r="CH100" s="526">
        <v>11.867954999980896</v>
      </c>
      <c r="CI100" s="526">
        <v>9.5018989999854284</v>
      </c>
      <c r="CJ100" s="526"/>
    </row>
    <row r="101" spans="34:88" ht="15" x14ac:dyDescent="0.25">
      <c r="AH101" s="290" t="s">
        <v>238</v>
      </c>
      <c r="AI101" s="290"/>
      <c r="AJ101" s="35">
        <f t="shared" si="87"/>
        <v>28</v>
      </c>
      <c r="AK101" s="34"/>
      <c r="AL101" s="34"/>
      <c r="AM101" s="34"/>
      <c r="AN101" s="34"/>
      <c r="AP101" s="34"/>
      <c r="AQ101" s="34"/>
      <c r="AR101" s="34"/>
      <c r="AS101" s="34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CA101" s="526"/>
      <c r="CB101" s="526"/>
      <c r="CC101" s="526"/>
      <c r="CD101" s="526"/>
      <c r="CE101" s="526"/>
      <c r="CF101" s="526"/>
      <c r="CG101" s="526"/>
      <c r="CH101" s="526"/>
      <c r="CI101" s="526"/>
      <c r="CJ101" s="526"/>
    </row>
    <row r="102" spans="34:88" ht="15" x14ac:dyDescent="0.25">
      <c r="AH102" s="291" t="s">
        <v>309</v>
      </c>
      <c r="AI102" s="291"/>
      <c r="AJ102" s="35">
        <f t="shared" si="87"/>
        <v>29</v>
      </c>
      <c r="AK102" s="35">
        <v>529.21908299997449</v>
      </c>
      <c r="AL102" s="35">
        <v>395.31234571424193</v>
      </c>
      <c r="AM102" s="35">
        <v>566.90309033330186</v>
      </c>
      <c r="AN102" s="35">
        <v>813.71834666665336</v>
      </c>
      <c r="AP102" s="35">
        <v>146.30236599999478</v>
      </c>
      <c r="AQ102" s="35">
        <v>58.275834285712335</v>
      </c>
      <c r="AR102" s="35">
        <v>150.06236833334549</v>
      </c>
      <c r="AS102" s="35">
        <v>271.35353333332944</v>
      </c>
      <c r="AU102" s="3">
        <v>109.21004100004211</v>
      </c>
      <c r="AV102" s="3">
        <v>88.862191428563392</v>
      </c>
      <c r="AW102" s="3">
        <v>405.92660699992348</v>
      </c>
      <c r="AX102" s="3">
        <v>538.88131333328761</v>
      </c>
      <c r="AY102" s="3"/>
      <c r="AZ102" s="3">
        <v>1855.1751040004201</v>
      </c>
      <c r="BA102" s="3">
        <v>1337.2652799997995</v>
      </c>
      <c r="BB102" s="3">
        <v>4335.5646600001201</v>
      </c>
      <c r="BC102" s="3">
        <v>7880.1120999997474</v>
      </c>
      <c r="BD102" s="3"/>
      <c r="BE102" s="3">
        <v>9.6064179999987118</v>
      </c>
      <c r="BF102" s="3">
        <v>7.7270457142897158</v>
      </c>
      <c r="BG102" s="3">
        <v>101.75571533332936</v>
      </c>
      <c r="BH102" s="3">
        <v>78.00094666666314</v>
      </c>
      <c r="BI102" s="3"/>
      <c r="BJ102" s="3">
        <f>IF(Stappen!$BJ$24=OR(1,2),CA102,CF102)</f>
        <v>20.042552000004775</v>
      </c>
      <c r="BK102" s="3">
        <f>IF(Stappen!$BJ$24=OR(1,2),CB102,CG102)</f>
        <v>5.4212114285660959</v>
      </c>
      <c r="BL102" s="3">
        <f>IF(Stappen!$BJ$24=OR(1,2),CC102,CH102)</f>
        <v>58.794391666658328</v>
      </c>
      <c r="BM102" s="3">
        <f>IF(Stappen!$BJ$24=OR(1,2),CD102,CI102)</f>
        <v>72.42915000000113</v>
      </c>
      <c r="BN102" s="3"/>
      <c r="CA102" s="526">
        <v>20.042552000004775</v>
      </c>
      <c r="CB102" s="526">
        <v>5.4212114285660959</v>
      </c>
      <c r="CC102" s="526">
        <v>58.977808333325072</v>
      </c>
      <c r="CD102" s="526">
        <v>72.612566666663042</v>
      </c>
      <c r="CE102" s="526"/>
      <c r="CF102" s="526">
        <v>20.042552000004775</v>
      </c>
      <c r="CG102" s="526">
        <v>5.4212114285660959</v>
      </c>
      <c r="CH102" s="526">
        <v>58.794391666658328</v>
      </c>
      <c r="CI102" s="526">
        <v>72.42915000000113</v>
      </c>
      <c r="CJ102" s="526"/>
    </row>
    <row r="103" spans="34:88" ht="15" x14ac:dyDescent="0.25">
      <c r="AH103" s="291" t="s">
        <v>310</v>
      </c>
      <c r="AI103" s="291"/>
      <c r="AJ103" s="35">
        <f t="shared" si="87"/>
        <v>30</v>
      </c>
      <c r="AK103" s="35">
        <v>153.26500000013039</v>
      </c>
      <c r="AL103" s="35">
        <v>119.75</v>
      </c>
      <c r="AM103" s="35">
        <v>140.92389999999432</v>
      </c>
      <c r="AN103" s="35">
        <v>392.96320000004516</v>
      </c>
      <c r="AP103" s="35">
        <v>48.57999999995809</v>
      </c>
      <c r="AQ103" s="35">
        <v>13.800000000017462</v>
      </c>
      <c r="AR103" s="35">
        <v>15.084149999992178</v>
      </c>
      <c r="AS103" s="35">
        <v>71.301749999989966</v>
      </c>
      <c r="AU103" s="3">
        <v>65.940000000060536</v>
      </c>
      <c r="AV103" s="3">
        <v>56.004999999888241</v>
      </c>
      <c r="AW103" s="3">
        <v>54.397050000028685</v>
      </c>
      <c r="AX103" s="3">
        <v>242.17019999995819</v>
      </c>
      <c r="AY103" s="3"/>
      <c r="AZ103" s="3">
        <v>500.82000000029802</v>
      </c>
      <c r="BA103" s="3">
        <v>286.94999999925494</v>
      </c>
      <c r="BB103" s="3">
        <v>585.80759999975271</v>
      </c>
      <c r="BC103" s="3">
        <v>3863.9977500002824</v>
      </c>
      <c r="BD103" s="3"/>
      <c r="BE103" s="3">
        <v>39.935000000012224</v>
      </c>
      <c r="BF103" s="3">
        <v>38.93499999998312</v>
      </c>
      <c r="BG103" s="3">
        <v>24.664199999996413</v>
      </c>
      <c r="BH103" s="3">
        <v>37.609199999994644</v>
      </c>
      <c r="BI103" s="3"/>
      <c r="BJ103" s="3">
        <f>IF(Stappen!$BJ$24=OR(1,2),CA103,CF103)</f>
        <v>7.3399999999674037</v>
      </c>
      <c r="BK103" s="3">
        <f>IF(Stappen!$BJ$24=OR(1,2),CB103,CG103)</f>
        <v>1.0099999999802094</v>
      </c>
      <c r="BL103" s="3">
        <f>IF(Stappen!$BJ$24=OR(1,2),CC103,CH103)</f>
        <v>4.736392999999282</v>
      </c>
      <c r="BM103" s="3">
        <f>IF(Stappen!$BJ$24=OR(1,2),CD103,CI103)</f>
        <v>28.208300000021723</v>
      </c>
      <c r="BN103" s="3"/>
      <c r="CA103" s="526">
        <v>7.3399999999965075</v>
      </c>
      <c r="CB103" s="526">
        <v>1.0100000000093132</v>
      </c>
      <c r="CC103" s="526">
        <v>6.1982139999978472</v>
      </c>
      <c r="CD103" s="526">
        <v>30.74890000000596</v>
      </c>
      <c r="CE103" s="526"/>
      <c r="CF103" s="526">
        <v>7.3399999999674037</v>
      </c>
      <c r="CG103" s="526">
        <v>1.0099999999802094</v>
      </c>
      <c r="CH103" s="526">
        <v>4.736392999999282</v>
      </c>
      <c r="CI103" s="526">
        <v>28.208300000021723</v>
      </c>
      <c r="CJ103" s="526"/>
    </row>
    <row r="104" spans="34:88" ht="15" x14ac:dyDescent="0.25">
      <c r="AH104" s="291" t="s">
        <v>311</v>
      </c>
      <c r="AI104" s="291"/>
      <c r="AJ104" s="35">
        <f t="shared" si="87"/>
        <v>31</v>
      </c>
      <c r="AK104" s="35">
        <v>0</v>
      </c>
      <c r="AL104" s="35">
        <v>42.441499999957159</v>
      </c>
      <c r="AM104" s="35">
        <v>96.642999999923632</v>
      </c>
      <c r="AN104" s="35">
        <v>0</v>
      </c>
      <c r="AP104" s="35">
        <v>0</v>
      </c>
      <c r="AQ104" s="35">
        <v>17.759749999997439</v>
      </c>
      <c r="AR104" s="35">
        <v>36.609499999991385</v>
      </c>
      <c r="AS104" s="35">
        <v>0</v>
      </c>
      <c r="AU104" s="3">
        <v>0</v>
      </c>
      <c r="AV104" s="3">
        <v>33.483499999914784</v>
      </c>
      <c r="AW104" s="3">
        <v>70.161999999778345</v>
      </c>
      <c r="AX104" s="3">
        <v>0</v>
      </c>
      <c r="AY104" s="3"/>
      <c r="AZ104" s="3">
        <v>0</v>
      </c>
      <c r="BA104" s="3">
        <v>203.79100000020117</v>
      </c>
      <c r="BB104" s="3">
        <v>465.29700000025332</v>
      </c>
      <c r="BC104" s="3">
        <v>0</v>
      </c>
      <c r="BD104" s="3"/>
      <c r="BE104" s="3">
        <v>0</v>
      </c>
      <c r="BF104" s="3">
        <v>23.510249999992084</v>
      </c>
      <c r="BG104" s="3">
        <v>47.300499999983003</v>
      </c>
      <c r="BH104" s="3">
        <v>0</v>
      </c>
      <c r="BI104" s="3"/>
      <c r="BJ104" s="3">
        <f>IF(Stappen!$BJ$24=OR(1,2),CA104,CF104)</f>
        <v>0</v>
      </c>
      <c r="BK104" s="3">
        <f>IF(Stappen!$BJ$24=OR(1,2),CB104,CG104)</f>
        <v>1.5568749999947613</v>
      </c>
      <c r="BL104" s="3">
        <f>IF(Stappen!$BJ$24=OR(1,2),CC104,CH104)</f>
        <v>3.1137499999895226</v>
      </c>
      <c r="BM104" s="3">
        <f>IF(Stappen!$BJ$24=OR(1,2),CD104,CI104)</f>
        <v>0</v>
      </c>
      <c r="BN104" s="3"/>
      <c r="CA104" s="526">
        <v>0</v>
      </c>
      <c r="CB104" s="526">
        <v>1.6022249999950873</v>
      </c>
      <c r="CC104" s="526">
        <v>3.2044499999901745</v>
      </c>
      <c r="CD104" s="526">
        <v>0</v>
      </c>
      <c r="CE104" s="526"/>
      <c r="CF104" s="526">
        <v>0</v>
      </c>
      <c r="CG104" s="526">
        <v>1.5568749999947613</v>
      </c>
      <c r="CH104" s="526">
        <v>3.1137499999895226</v>
      </c>
      <c r="CI104" s="526">
        <v>0</v>
      </c>
      <c r="CJ104" s="526"/>
    </row>
    <row r="105" spans="34:88" ht="15" x14ac:dyDescent="0.25">
      <c r="AH105" s="290" t="s">
        <v>56</v>
      </c>
      <c r="AI105" s="290"/>
      <c r="AJ105" s="35">
        <f t="shared" si="87"/>
        <v>32</v>
      </c>
      <c r="AK105" s="35"/>
      <c r="AL105" s="35"/>
      <c r="AM105" s="35"/>
      <c r="AN105" s="35"/>
      <c r="AP105" s="35"/>
      <c r="AQ105" s="35"/>
      <c r="AR105" s="35"/>
      <c r="AS105" s="35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CA105" s="526"/>
      <c r="CB105" s="526"/>
      <c r="CC105" s="526"/>
      <c r="CD105" s="526"/>
      <c r="CE105" s="526"/>
      <c r="CF105" s="526"/>
      <c r="CG105" s="526"/>
      <c r="CH105" s="526"/>
      <c r="CI105" s="526"/>
      <c r="CJ105" s="526"/>
    </row>
    <row r="106" spans="34:88" ht="15" x14ac:dyDescent="0.25">
      <c r="AH106" s="291" t="s">
        <v>312</v>
      </c>
      <c r="AI106" s="291"/>
      <c r="AJ106" s="35">
        <f t="shared" si="87"/>
        <v>33</v>
      </c>
      <c r="AK106" s="35">
        <v>4.5999999999999091</v>
      </c>
      <c r="AL106" s="35">
        <v>50.898653333245875</v>
      </c>
      <c r="AM106" s="35">
        <v>64.617306666790228</v>
      </c>
      <c r="AN106" s="35">
        <v>64.074726666525748</v>
      </c>
      <c r="AP106" s="35">
        <v>1.5199999999720148</v>
      </c>
      <c r="AQ106" s="35">
        <v>14.805116666688491</v>
      </c>
      <c r="AR106" s="35">
        <v>19.260233333312954</v>
      </c>
      <c r="AS106" s="35">
        <v>14.094308333342383</v>
      </c>
      <c r="AU106" s="3">
        <v>4.3640000000596046</v>
      </c>
      <c r="AV106" s="3">
        <v>27.348786666515934</v>
      </c>
      <c r="AW106" s="3">
        <v>35.55757333348356</v>
      </c>
      <c r="AX106" s="3">
        <v>48.156293333271151</v>
      </c>
      <c r="AY106" s="3"/>
      <c r="AZ106" s="3">
        <v>86.988000001012551</v>
      </c>
      <c r="BA106" s="3">
        <v>389.8574833323546</v>
      </c>
      <c r="BB106" s="3">
        <v>458.57996666679901</v>
      </c>
      <c r="BC106" s="3">
        <v>452.84499166688693</v>
      </c>
      <c r="BD106" s="3"/>
      <c r="BE106" s="3">
        <v>0.46799999998188468</v>
      </c>
      <c r="BF106" s="3">
        <v>6.9370533333460571</v>
      </c>
      <c r="BG106" s="3">
        <v>11.594106666664175</v>
      </c>
      <c r="BH106" s="3">
        <v>24.895926666673518</v>
      </c>
      <c r="BI106" s="3"/>
      <c r="BJ106" s="3">
        <f>IF(Stappen!$BJ$24=OR(1,2),CA106,CF106)</f>
        <v>0.39200000001585522</v>
      </c>
      <c r="BK106" s="3">
        <f>IF(Stappen!$BJ$24=OR(1,2),CB106,CG106)</f>
        <v>10.306233333350008</v>
      </c>
      <c r="BL106" s="3">
        <f>IF(Stappen!$BJ$24=OR(1,2),CC106,CH106)</f>
        <v>11.844966666654614</v>
      </c>
      <c r="BM106" s="3">
        <f>IF(Stappen!$BJ$24=OR(1,2),CD106,CI106)</f>
        <v>7.043991666657746</v>
      </c>
      <c r="BN106" s="3"/>
      <c r="CA106" s="526">
        <v>0.48999999996738097</v>
      </c>
      <c r="CB106" s="526">
        <v>15.352633333374968</v>
      </c>
      <c r="CC106" s="526">
        <v>17.580266666604416</v>
      </c>
      <c r="CD106" s="526">
        <v>10.254016666681878</v>
      </c>
      <c r="CE106" s="526"/>
      <c r="CF106" s="526">
        <v>0.39200000001585522</v>
      </c>
      <c r="CG106" s="526">
        <v>10.306233333350008</v>
      </c>
      <c r="CH106" s="526">
        <v>11.844966666654614</v>
      </c>
      <c r="CI106" s="526">
        <v>7.043991666657746</v>
      </c>
      <c r="CJ106" s="526"/>
    </row>
    <row r="107" spans="34:88" ht="15" x14ac:dyDescent="0.25">
      <c r="AH107" s="288" t="s">
        <v>42</v>
      </c>
      <c r="AI107" s="288"/>
      <c r="AJ107" s="35">
        <f t="shared" si="87"/>
        <v>34</v>
      </c>
      <c r="AK107" s="37"/>
      <c r="AL107" s="37"/>
      <c r="AM107" s="37"/>
      <c r="AN107" s="37"/>
      <c r="AP107" s="37"/>
      <c r="AQ107" s="37"/>
      <c r="AR107" s="37"/>
      <c r="AS107" s="37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CA107" s="526"/>
      <c r="CB107" s="526"/>
      <c r="CC107" s="526"/>
      <c r="CD107" s="526"/>
      <c r="CE107" s="526"/>
      <c r="CF107" s="526"/>
      <c r="CG107" s="526"/>
      <c r="CH107" s="526"/>
      <c r="CI107" s="526"/>
      <c r="CJ107" s="526"/>
    </row>
    <row r="108" spans="34:88" ht="15" x14ac:dyDescent="0.25">
      <c r="AH108" s="290" t="s">
        <v>9</v>
      </c>
      <c r="AI108" s="290"/>
      <c r="AJ108" s="35">
        <f t="shared" si="87"/>
        <v>35</v>
      </c>
      <c r="AK108" s="35"/>
      <c r="AL108" s="35"/>
      <c r="AM108" s="35"/>
      <c r="AN108" s="35"/>
      <c r="AP108" s="35"/>
      <c r="AQ108" s="35"/>
      <c r="AR108" s="35"/>
      <c r="AS108" s="35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CA108" s="526"/>
      <c r="CB108" s="526"/>
      <c r="CC108" s="526"/>
      <c r="CD108" s="526"/>
      <c r="CE108" s="526"/>
      <c r="CF108" s="526"/>
      <c r="CG108" s="526"/>
      <c r="CH108" s="526"/>
      <c r="CI108" s="526"/>
      <c r="CJ108" s="526"/>
    </row>
    <row r="109" spans="34:88" ht="15" x14ac:dyDescent="0.25">
      <c r="AH109" s="291" t="s">
        <v>313</v>
      </c>
      <c r="AI109" s="291"/>
      <c r="AJ109" s="35">
        <f t="shared" si="87"/>
        <v>36</v>
      </c>
      <c r="AK109" s="35">
        <v>0</v>
      </c>
      <c r="AL109" s="35">
        <v>0</v>
      </c>
      <c r="AM109" s="35">
        <v>0</v>
      </c>
      <c r="AN109" s="35">
        <v>0</v>
      </c>
      <c r="AP109" s="35">
        <v>0</v>
      </c>
      <c r="AQ109" s="35">
        <v>0</v>
      </c>
      <c r="AR109" s="35">
        <v>0</v>
      </c>
      <c r="AS109" s="35">
        <v>0</v>
      </c>
      <c r="AU109" s="3">
        <v>0</v>
      </c>
      <c r="AV109" s="3">
        <v>0</v>
      </c>
      <c r="AW109" s="3">
        <v>0</v>
      </c>
      <c r="AX109" s="3">
        <v>0</v>
      </c>
      <c r="AY109" s="3"/>
      <c r="AZ109" s="3">
        <v>0</v>
      </c>
      <c r="BA109" s="3">
        <v>0</v>
      </c>
      <c r="BB109" s="3">
        <v>0</v>
      </c>
      <c r="BC109" s="3">
        <v>0</v>
      </c>
      <c r="BD109" s="3"/>
      <c r="BE109" s="3">
        <v>0</v>
      </c>
      <c r="BF109" s="3">
        <v>0</v>
      </c>
      <c r="BG109" s="3">
        <v>0</v>
      </c>
      <c r="BH109" s="3">
        <v>0</v>
      </c>
      <c r="BI109" s="3"/>
      <c r="BJ109" s="3">
        <f>IF(Stappen!$BJ$24=OR(1,2),CA109,CF109)</f>
        <v>0</v>
      </c>
      <c r="BK109" s="3">
        <f>IF(Stappen!$BJ$24=OR(1,2),CB109,CG109)</f>
        <v>0</v>
      </c>
      <c r="BL109" s="3">
        <f>IF(Stappen!$BJ$24=OR(1,2),CC109,CH109)</f>
        <v>0</v>
      </c>
      <c r="BM109" s="3">
        <f>IF(Stappen!$BJ$24=OR(1,2),CD109,CI109)</f>
        <v>0</v>
      </c>
      <c r="BN109" s="3"/>
      <c r="CA109" s="526">
        <v>0</v>
      </c>
      <c r="CB109" s="526">
        <v>0</v>
      </c>
      <c r="CC109" s="526">
        <v>0</v>
      </c>
      <c r="CD109" s="526">
        <v>0</v>
      </c>
      <c r="CE109" s="526"/>
      <c r="CF109" s="526">
        <v>0</v>
      </c>
      <c r="CG109" s="526">
        <v>0</v>
      </c>
      <c r="CH109" s="526">
        <v>0</v>
      </c>
      <c r="CI109" s="526">
        <v>0</v>
      </c>
      <c r="CJ109" s="526"/>
    </row>
    <row r="110" spans="34:88" ht="15" x14ac:dyDescent="0.25">
      <c r="AH110" s="291" t="s">
        <v>314</v>
      </c>
      <c r="AI110" s="291"/>
      <c r="AJ110" s="35">
        <f t="shared" si="87"/>
        <v>37</v>
      </c>
      <c r="AK110" s="35">
        <v>8.94688500000575</v>
      </c>
      <c r="AL110" s="35">
        <v>5.5374850000016522</v>
      </c>
      <c r="AM110" s="35">
        <v>5.5374850000016522</v>
      </c>
      <c r="AN110" s="35">
        <v>5.1911050000144314</v>
      </c>
      <c r="AP110" s="35">
        <v>0.88119500000175321</v>
      </c>
      <c r="AQ110" s="35">
        <v>0.49559499999986656</v>
      </c>
      <c r="AR110" s="35">
        <v>0.49559499999986656</v>
      </c>
      <c r="AS110" s="35">
        <v>0.534015000000295</v>
      </c>
      <c r="AU110" s="3">
        <v>1.9924549999905139</v>
      </c>
      <c r="AV110" s="3">
        <v>1.0745549999974173</v>
      </c>
      <c r="AW110" s="3">
        <v>1.0745549999974173</v>
      </c>
      <c r="AX110" s="3">
        <v>1.3350849999878847</v>
      </c>
      <c r="AY110" s="3"/>
      <c r="AZ110" s="3">
        <v>39.888094999969326</v>
      </c>
      <c r="BA110" s="3">
        <v>23.165114999999787</v>
      </c>
      <c r="BB110" s="3">
        <v>23.165114999999787</v>
      </c>
      <c r="BC110" s="3">
        <v>28.686119999987568</v>
      </c>
      <c r="BD110" s="3"/>
      <c r="BE110" s="3">
        <v>0.27730250000013257</v>
      </c>
      <c r="BF110" s="3">
        <v>0.10451750000049742</v>
      </c>
      <c r="BG110" s="3">
        <v>0.10451750000049742</v>
      </c>
      <c r="BH110" s="3">
        <v>0.12431499999979678</v>
      </c>
      <c r="BI110" s="3"/>
      <c r="BJ110" s="3">
        <f>IF(Stappen!$BJ$24=OR(1,2),CA110,CF110)</f>
        <v>0.43195315000377832</v>
      </c>
      <c r="BK110" s="3">
        <f>IF(Stappen!$BJ$24=OR(1,2),CB110,CG110)</f>
        <v>0.23495534999955225</v>
      </c>
      <c r="BL110" s="3">
        <f>IF(Stappen!$BJ$24=OR(1,2),CC110,CH110)</f>
        <v>0.23495534999955225</v>
      </c>
      <c r="BM110" s="3">
        <f>IF(Stappen!$BJ$24=OR(1,2),CD110,CI110)</f>
        <v>0.20453000000139809</v>
      </c>
      <c r="BN110" s="3"/>
      <c r="CA110" s="526">
        <v>0.64722659999779353</v>
      </c>
      <c r="CB110" s="526">
        <v>0.35183599999948001</v>
      </c>
      <c r="CC110" s="526">
        <v>0.35183599999948001</v>
      </c>
      <c r="CD110" s="526">
        <v>0.30660754999820483</v>
      </c>
      <c r="CE110" s="526"/>
      <c r="CF110" s="526">
        <v>0.43195315000377832</v>
      </c>
      <c r="CG110" s="526">
        <v>0.23495534999955225</v>
      </c>
      <c r="CH110" s="526">
        <v>0.23495534999955225</v>
      </c>
      <c r="CI110" s="526">
        <v>0.20453000000139809</v>
      </c>
      <c r="CJ110" s="526"/>
    </row>
    <row r="111" spans="34:88" ht="15" x14ac:dyDescent="0.25">
      <c r="AH111" s="291" t="s">
        <v>315</v>
      </c>
      <c r="AI111" s="291"/>
      <c r="AJ111" s="35">
        <f t="shared" si="87"/>
        <v>38</v>
      </c>
      <c r="AK111" s="42">
        <v>13.115035000008902</v>
      </c>
      <c r="AL111" s="42">
        <v>6.0023849999975027</v>
      </c>
      <c r="AM111" s="42">
        <v>6.0023849999975027</v>
      </c>
      <c r="AN111" s="42">
        <v>2.430169999993268</v>
      </c>
      <c r="AP111" s="42">
        <v>1.8154150000074196</v>
      </c>
      <c r="AQ111" s="42">
        <v>0.82047500000237505</v>
      </c>
      <c r="AR111" s="42">
        <v>0.82047500000237505</v>
      </c>
      <c r="AS111" s="42">
        <v>0.31235000000128821</v>
      </c>
      <c r="AU111" s="274">
        <v>2.0098900000057256</v>
      </c>
      <c r="AV111" s="274">
        <v>1.1847549999888543</v>
      </c>
      <c r="AW111" s="274">
        <v>1.1847549999883995</v>
      </c>
      <c r="AX111" s="274">
        <v>0.32405499999822496</v>
      </c>
      <c r="AY111" s="3"/>
      <c r="AZ111" s="274">
        <v>41.045430000107444</v>
      </c>
      <c r="BA111" s="274">
        <v>21.843490000101156</v>
      </c>
      <c r="BB111" s="274">
        <v>21.843490000101156</v>
      </c>
      <c r="BC111" s="274">
        <v>5.5123349999921629</v>
      </c>
      <c r="BD111" s="3"/>
      <c r="BE111" s="274">
        <v>0.40089500000442513</v>
      </c>
      <c r="BF111" s="274">
        <v>0.18994500000155767</v>
      </c>
      <c r="BG111" s="274">
        <v>0.18994500000155767</v>
      </c>
      <c r="BH111" s="274">
        <v>6.8399999999769534E-2</v>
      </c>
      <c r="BI111" s="3"/>
      <c r="BJ111" s="274">
        <f>IF(Stappen!$BJ$24=OR(1,2),CA111,CF111)</f>
        <v>4.6727619500032915</v>
      </c>
      <c r="BK111" s="274">
        <f>IF(Stappen!$BJ$24=OR(1,2),CB111,CG111)</f>
        <v>1.7587316000009423</v>
      </c>
      <c r="BL111" s="274">
        <f>IF(Stappen!$BJ$24=OR(1,2),CC111,CH111)</f>
        <v>1.7587316000009423</v>
      </c>
      <c r="BM111" s="274">
        <f>IF(Stappen!$BJ$24=OR(1,2),CD111,CI111)</f>
        <v>0.88395624999969868</v>
      </c>
      <c r="BN111" s="3"/>
      <c r="CA111" s="526">
        <v>7.0278640000026371</v>
      </c>
      <c r="CB111" s="526">
        <v>2.6447412000010218</v>
      </c>
      <c r="CC111" s="526">
        <v>2.6447412000010218</v>
      </c>
      <c r="CD111" s="526">
        <v>1.3294701999998324</v>
      </c>
      <c r="CE111" s="526"/>
      <c r="CF111" s="526">
        <v>4.6727619500032915</v>
      </c>
      <c r="CG111" s="526">
        <v>1.7587316000009423</v>
      </c>
      <c r="CH111" s="526">
        <v>1.7587316000009423</v>
      </c>
      <c r="CI111" s="526">
        <v>0.88395624999969868</v>
      </c>
      <c r="CJ111" s="526"/>
    </row>
    <row r="112" spans="34:88" ht="15" x14ac:dyDescent="0.25">
      <c r="AH112" s="291" t="s">
        <v>316</v>
      </c>
      <c r="AI112" s="291"/>
      <c r="AJ112" s="35">
        <f t="shared" si="87"/>
        <v>39</v>
      </c>
      <c r="AK112" s="35">
        <v>2.568734999991193</v>
      </c>
      <c r="AL112" s="35">
        <v>1.3316350000004604</v>
      </c>
      <c r="AM112" s="35">
        <v>1.3316350000004604</v>
      </c>
      <c r="AN112" s="35">
        <v>0.46760999999651176</v>
      </c>
      <c r="AP112" s="35">
        <v>0.14603000000045085</v>
      </c>
      <c r="AQ112" s="35">
        <v>6.5519999999992251E-2</v>
      </c>
      <c r="AR112" s="35">
        <v>6.5519999999992251E-2</v>
      </c>
      <c r="AS112" s="35">
        <v>3.0875000000037289E-2</v>
      </c>
      <c r="AU112" s="3">
        <v>0.36680500000056782</v>
      </c>
      <c r="AV112" s="3">
        <v>0.16449500000157968</v>
      </c>
      <c r="AW112" s="3">
        <v>0.16449500000135231</v>
      </c>
      <c r="AX112" s="3">
        <v>7.8129999998509447E-2</v>
      </c>
      <c r="AY112" s="3"/>
      <c r="AZ112" s="3">
        <v>5.6160449999697448</v>
      </c>
      <c r="BA112" s="3">
        <v>2.5183950000209734</v>
      </c>
      <c r="BB112" s="3">
        <v>2.5183950000209734</v>
      </c>
      <c r="BC112" s="3">
        <v>1.1922299999860115</v>
      </c>
      <c r="BD112" s="3"/>
      <c r="BE112" s="3">
        <v>3.4104999999954089E-2</v>
      </c>
      <c r="BF112" s="3">
        <v>1.5235000000188847E-2</v>
      </c>
      <c r="BG112" s="3">
        <v>1.5235000000188847E-2</v>
      </c>
      <c r="BH112" s="3">
        <v>7.3449999999866122E-3</v>
      </c>
      <c r="BI112" s="3"/>
      <c r="BJ112" s="3">
        <f>IF(Stappen!$BJ$24=OR(1,2),CA112,CF112)</f>
        <v>2.6745000000346408E-2</v>
      </c>
      <c r="BK112" s="3">
        <f>IF(Stappen!$BJ$24=OR(1,2),CB112,CG112)</f>
        <v>1.1934999999880347E-2</v>
      </c>
      <c r="BL112" s="3">
        <f>IF(Stappen!$BJ$24=OR(1,2),CC112,CH112)</f>
        <v>1.1934999999880347E-2</v>
      </c>
      <c r="BM112" s="3">
        <f>IF(Stappen!$BJ$24=OR(1,2),CD112,CI112)</f>
        <v>5.8500000001231456E-3</v>
      </c>
      <c r="BN112" s="3"/>
      <c r="CA112" s="526">
        <v>4.0117500000519613E-2</v>
      </c>
      <c r="CB112" s="526">
        <v>1.7902499999365773E-2</v>
      </c>
      <c r="CC112" s="526">
        <v>1.7902499999365773E-2</v>
      </c>
      <c r="CD112" s="526">
        <v>8.7750000002415618E-3</v>
      </c>
      <c r="CE112" s="526"/>
      <c r="CF112" s="526">
        <v>2.6745000000346408E-2</v>
      </c>
      <c r="CG112" s="526">
        <v>1.1934999999880347E-2</v>
      </c>
      <c r="CH112" s="526">
        <v>1.1934999999880347E-2</v>
      </c>
      <c r="CI112" s="526">
        <v>5.8500000001231456E-3</v>
      </c>
      <c r="CJ112" s="526"/>
    </row>
    <row r="113" spans="34:88" ht="15" x14ac:dyDescent="0.25">
      <c r="AH113" s="290" t="s">
        <v>10</v>
      </c>
      <c r="AI113" s="290"/>
      <c r="AJ113" s="35">
        <f t="shared" si="87"/>
        <v>40</v>
      </c>
      <c r="AK113" s="35"/>
      <c r="AL113" s="35"/>
      <c r="AM113" s="35"/>
      <c r="AN113" s="35"/>
      <c r="AP113" s="35"/>
      <c r="AQ113" s="35"/>
      <c r="AR113" s="35"/>
      <c r="AS113" s="35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CA113" s="526"/>
      <c r="CB113" s="526"/>
      <c r="CC113" s="526"/>
      <c r="CD113" s="526"/>
      <c r="CE113" s="526"/>
      <c r="CF113" s="526"/>
      <c r="CG113" s="526"/>
      <c r="CH113" s="526"/>
      <c r="CI113" s="526"/>
      <c r="CJ113" s="526"/>
    </row>
    <row r="114" spans="34:88" ht="15" x14ac:dyDescent="0.25">
      <c r="AH114" s="291" t="s">
        <v>317</v>
      </c>
      <c r="AI114" s="291"/>
      <c r="AJ114" s="35">
        <f t="shared" si="87"/>
        <v>41</v>
      </c>
      <c r="AK114" s="42">
        <v>0</v>
      </c>
      <c r="AL114" s="42">
        <v>0</v>
      </c>
      <c r="AM114" s="42">
        <v>0</v>
      </c>
      <c r="AN114" s="42">
        <v>0</v>
      </c>
      <c r="AP114" s="42">
        <v>0</v>
      </c>
      <c r="AQ114" s="42">
        <v>0</v>
      </c>
      <c r="AR114" s="42">
        <v>0</v>
      </c>
      <c r="AS114" s="42">
        <v>0</v>
      </c>
      <c r="AU114" s="274">
        <v>0</v>
      </c>
      <c r="AV114" s="274">
        <v>0</v>
      </c>
      <c r="AW114" s="274">
        <v>0</v>
      </c>
      <c r="AX114" s="274">
        <v>0</v>
      </c>
      <c r="AY114" s="3"/>
      <c r="AZ114" s="274">
        <v>0</v>
      </c>
      <c r="BA114" s="274">
        <v>0</v>
      </c>
      <c r="BB114" s="274">
        <v>0</v>
      </c>
      <c r="BC114" s="274">
        <v>0</v>
      </c>
      <c r="BD114" s="3"/>
      <c r="BE114" s="274">
        <v>0</v>
      </c>
      <c r="BF114" s="274">
        <v>0</v>
      </c>
      <c r="BG114" s="274">
        <v>0</v>
      </c>
      <c r="BH114" s="274">
        <v>0</v>
      </c>
      <c r="BI114" s="3"/>
      <c r="BJ114" s="274">
        <f>IF(Stappen!$BJ$24=OR(1,2),CA114,CF114)</f>
        <v>0</v>
      </c>
      <c r="BK114" s="274">
        <f>IF(Stappen!$BJ$24=OR(1,2),CB114,CG114)</f>
        <v>0</v>
      </c>
      <c r="BL114" s="274">
        <f>IF(Stappen!$BJ$24=OR(1,2),CC114,CH114)</f>
        <v>0</v>
      </c>
      <c r="BM114" s="274">
        <f>IF(Stappen!$BJ$24=OR(1,2),CD114,CI114)</f>
        <v>0</v>
      </c>
      <c r="BN114" s="3"/>
      <c r="CA114" s="526">
        <v>0</v>
      </c>
      <c r="CB114" s="526">
        <v>0</v>
      </c>
      <c r="CC114" s="526">
        <v>0</v>
      </c>
      <c r="CD114" s="526">
        <v>0</v>
      </c>
      <c r="CE114" s="526"/>
      <c r="CF114" s="526">
        <v>0</v>
      </c>
      <c r="CG114" s="526">
        <v>0</v>
      </c>
      <c r="CH114" s="526">
        <v>0</v>
      </c>
      <c r="CI114" s="526">
        <v>0</v>
      </c>
      <c r="CJ114" s="526"/>
    </row>
    <row r="115" spans="34:88" ht="15" x14ac:dyDescent="0.25">
      <c r="AH115" s="291" t="s">
        <v>318</v>
      </c>
      <c r="AI115" s="291"/>
      <c r="AJ115" s="35">
        <f t="shared" si="87"/>
        <v>42</v>
      </c>
      <c r="AK115" s="42">
        <v>49.232405000077506</v>
      </c>
      <c r="AL115" s="42">
        <v>54.07387000007293</v>
      </c>
      <c r="AM115" s="42">
        <v>48.89390294125451</v>
      </c>
      <c r="AN115" s="42">
        <v>48.89390294125451</v>
      </c>
      <c r="AP115" s="42">
        <v>6.3691150000048538</v>
      </c>
      <c r="AQ115" s="42">
        <v>8.2435450000029959</v>
      </c>
      <c r="AR115" s="42">
        <v>6.3335691176517912</v>
      </c>
      <c r="AS115" s="42">
        <v>6.3335691176517912</v>
      </c>
      <c r="AU115" s="274">
        <v>16.634599999991678</v>
      </c>
      <c r="AV115" s="274">
        <v>22.867939999989403</v>
      </c>
      <c r="AW115" s="274">
        <v>16.543977941167668</v>
      </c>
      <c r="AX115" s="274">
        <v>16.543977941167668</v>
      </c>
      <c r="AY115" s="3"/>
      <c r="AZ115" s="274">
        <v>252.85277500054508</v>
      </c>
      <c r="BA115" s="274">
        <v>338.89692500035017</v>
      </c>
      <c r="BB115" s="274">
        <v>251.48806617702212</v>
      </c>
      <c r="BC115" s="274">
        <v>251.48806617702212</v>
      </c>
      <c r="BD115" s="3"/>
      <c r="BE115" s="274">
        <v>1.7363599999922599</v>
      </c>
      <c r="BF115" s="274">
        <v>2.3775199999935239</v>
      </c>
      <c r="BG115" s="274">
        <v>1.7267911764629389</v>
      </c>
      <c r="BH115" s="274">
        <v>1.7267911764629389</v>
      </c>
      <c r="BI115" s="3"/>
      <c r="BJ115" s="274">
        <f>IF(Stappen!$BJ$24=OR(1,2),CA115,CF115)</f>
        <v>5.9260663999982626</v>
      </c>
      <c r="BK115" s="274">
        <f>IF(Stappen!$BJ$24=OR(1,2),CB115,CG115)</f>
        <v>5.6816972499959775</v>
      </c>
      <c r="BL115" s="274">
        <f>IF(Stappen!$BJ$24=OR(1,2),CC115,CH115)</f>
        <v>5.8882086176452049</v>
      </c>
      <c r="BM115" s="274">
        <f>IF(Stappen!$BJ$24=OR(1,2),CD115,CI115)</f>
        <v>5.8882086176452049</v>
      </c>
      <c r="BN115" s="3"/>
      <c r="CA115" s="526">
        <v>8.8862970000022869</v>
      </c>
      <c r="CB115" s="526">
        <v>8.5200167000064084</v>
      </c>
      <c r="CC115" s="526">
        <v>8.8295332352963101</v>
      </c>
      <c r="CD115" s="526">
        <v>8.8295332352963101</v>
      </c>
      <c r="CE115" s="526"/>
      <c r="CF115" s="526">
        <v>5.9260663999982626</v>
      </c>
      <c r="CG115" s="526">
        <v>5.6816972499959775</v>
      </c>
      <c r="CH115" s="526">
        <v>5.8882086176452049</v>
      </c>
      <c r="CI115" s="526">
        <v>5.8882086176452049</v>
      </c>
      <c r="CJ115" s="526"/>
    </row>
    <row r="116" spans="34:88" ht="15" x14ac:dyDescent="0.25">
      <c r="AH116" s="291" t="s">
        <v>319</v>
      </c>
      <c r="AI116" s="291"/>
      <c r="AJ116" s="35">
        <f t="shared" si="87"/>
        <v>43</v>
      </c>
      <c r="AK116" s="42">
        <v>11.249674999980016</v>
      </c>
      <c r="AL116" s="42">
        <v>36.607374999919557</v>
      </c>
      <c r="AM116" s="42">
        <v>0</v>
      </c>
      <c r="AN116" s="42">
        <v>11.249674999980016</v>
      </c>
      <c r="AP116" s="42">
        <v>2.7082250000032673</v>
      </c>
      <c r="AQ116" s="42">
        <v>7.697225000002959</v>
      </c>
      <c r="AR116" s="42">
        <v>19.908020000000192</v>
      </c>
      <c r="AS116" s="42">
        <v>2.7082250000032673</v>
      </c>
      <c r="AU116" s="274">
        <v>7.2344999999922948</v>
      </c>
      <c r="AV116" s="274">
        <v>20.453299999995579</v>
      </c>
      <c r="AW116" s="274">
        <v>0</v>
      </c>
      <c r="AX116" s="274">
        <v>7.2344999999922948</v>
      </c>
      <c r="AY116" s="3"/>
      <c r="AZ116" s="274">
        <v>111.84377499995753</v>
      </c>
      <c r="BA116" s="274">
        <v>317.6002249997</v>
      </c>
      <c r="BB116" s="274">
        <v>820.41889666660427</v>
      </c>
      <c r="BC116" s="274">
        <v>111.84377499995753</v>
      </c>
      <c r="BD116" s="3"/>
      <c r="BE116" s="274">
        <v>0.68485000000134733</v>
      </c>
      <c r="BF116" s="274">
        <v>1.918699999996079</v>
      </c>
      <c r="BG116" s="274">
        <v>0</v>
      </c>
      <c r="BH116" s="274">
        <v>0.68485000000134733</v>
      </c>
      <c r="BI116" s="3"/>
      <c r="BJ116" s="274">
        <f>IF(Stappen!$BJ$24=OR(1,2),CA116,CF116)</f>
        <v>3.8922914999980094</v>
      </c>
      <c r="BK116" s="274">
        <f>IF(Stappen!$BJ$24=OR(1,2),CB116,CG116)</f>
        <v>11.231084999991822</v>
      </c>
      <c r="BL116" s="274">
        <f>IF(Stappen!$BJ$24=OR(1,2),CC116,CH116)</f>
        <v>13.69296380000003</v>
      </c>
      <c r="BM116" s="274">
        <f>IF(Stappen!$BJ$24=OR(1,2),CD116,CI116)</f>
        <v>3.8922914999980662</v>
      </c>
      <c r="BN116" s="3"/>
      <c r="CA116" s="526">
        <v>5.8399500000031139</v>
      </c>
      <c r="CB116" s="526">
        <v>16.850500000011095</v>
      </c>
      <c r="CC116" s="526">
        <v>0</v>
      </c>
      <c r="CD116" s="526">
        <v>5.8399500000030571</v>
      </c>
      <c r="CE116" s="526"/>
      <c r="CF116" s="526">
        <v>3.8922914999980094</v>
      </c>
      <c r="CG116" s="526">
        <v>11.231084999991822</v>
      </c>
      <c r="CH116" s="526">
        <v>13.69296380000003</v>
      </c>
      <c r="CI116" s="526">
        <v>3.8922914999980662</v>
      </c>
      <c r="CJ116" s="526"/>
    </row>
    <row r="117" spans="34:88" ht="15" x14ac:dyDescent="0.25">
      <c r="AH117" s="291" t="s">
        <v>320</v>
      </c>
      <c r="AI117" s="291"/>
      <c r="AJ117" s="35">
        <f t="shared" si="87"/>
        <v>44</v>
      </c>
      <c r="AK117" s="42">
        <v>0</v>
      </c>
      <c r="AL117" s="42">
        <v>0</v>
      </c>
      <c r="AM117" s="42">
        <v>0</v>
      </c>
      <c r="AN117" s="42">
        <v>0</v>
      </c>
      <c r="AP117" s="42">
        <v>0</v>
      </c>
      <c r="AQ117" s="42">
        <v>0</v>
      </c>
      <c r="AR117" s="42">
        <v>0</v>
      </c>
      <c r="AS117" s="42">
        <v>0</v>
      </c>
      <c r="AU117" s="274">
        <v>0</v>
      </c>
      <c r="AV117" s="274">
        <v>0</v>
      </c>
      <c r="AW117" s="274">
        <v>0</v>
      </c>
      <c r="AX117" s="274">
        <v>0</v>
      </c>
      <c r="AY117" s="3"/>
      <c r="AZ117" s="274">
        <v>0</v>
      </c>
      <c r="BA117" s="274">
        <v>0</v>
      </c>
      <c r="BB117" s="274">
        <v>0</v>
      </c>
      <c r="BC117" s="274">
        <v>0</v>
      </c>
      <c r="BD117" s="3"/>
      <c r="BE117" s="274">
        <v>0</v>
      </c>
      <c r="BF117" s="274">
        <v>0</v>
      </c>
      <c r="BG117" s="274">
        <v>0</v>
      </c>
      <c r="BH117" s="274">
        <v>0</v>
      </c>
      <c r="BI117" s="3"/>
      <c r="BJ117" s="274">
        <f>IF(Stappen!$BJ$24=OR(1,2),CA117,CF117)</f>
        <v>0</v>
      </c>
      <c r="BK117" s="274">
        <f>IF(Stappen!$BJ$24=OR(1,2),CB117,CG117)</f>
        <v>0</v>
      </c>
      <c r="BL117" s="274">
        <f>IF(Stappen!$BJ$24=OR(1,2),CC117,CH117)</f>
        <v>0</v>
      </c>
      <c r="BM117" s="274">
        <f>IF(Stappen!$BJ$24=OR(1,2),CD117,CI117)</f>
        <v>0</v>
      </c>
      <c r="BN117" s="3"/>
      <c r="CA117" s="526">
        <v>0</v>
      </c>
      <c r="CB117" s="526">
        <v>0</v>
      </c>
      <c r="CC117" s="526">
        <v>0</v>
      </c>
      <c r="CD117" s="526">
        <v>0</v>
      </c>
      <c r="CE117" s="526"/>
      <c r="CF117" s="526">
        <v>0</v>
      </c>
      <c r="CG117" s="526">
        <v>0</v>
      </c>
      <c r="CH117" s="526">
        <v>0</v>
      </c>
      <c r="CI117" s="526">
        <v>0</v>
      </c>
      <c r="CJ117" s="526"/>
    </row>
    <row r="118" spans="34:88" ht="15" x14ac:dyDescent="0.25">
      <c r="AH118" s="290" t="s">
        <v>11</v>
      </c>
      <c r="AI118" s="290"/>
      <c r="AJ118" s="35">
        <f t="shared" si="87"/>
        <v>45</v>
      </c>
      <c r="AK118" s="35"/>
      <c r="AL118" s="35"/>
      <c r="AM118" s="35"/>
      <c r="AN118" s="35"/>
      <c r="AP118" s="35"/>
      <c r="AQ118" s="35"/>
      <c r="AR118" s="35"/>
      <c r="AS118" s="35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CA118" s="526"/>
      <c r="CB118" s="526"/>
      <c r="CC118" s="526"/>
      <c r="CD118" s="526"/>
      <c r="CE118" s="526"/>
      <c r="CF118" s="526"/>
      <c r="CG118" s="526"/>
      <c r="CH118" s="526"/>
      <c r="CI118" s="526"/>
      <c r="CJ118" s="526"/>
    </row>
    <row r="119" spans="34:88" ht="15" x14ac:dyDescent="0.25">
      <c r="AH119" s="291" t="s">
        <v>321</v>
      </c>
      <c r="AI119" s="291"/>
      <c r="AJ119" s="35">
        <f t="shared" si="87"/>
        <v>46</v>
      </c>
      <c r="AK119" s="35">
        <v>2.0010300000089956</v>
      </c>
      <c r="AL119" s="35">
        <v>11.44936750000943</v>
      </c>
      <c r="AM119" s="35">
        <v>11.449367500010339</v>
      </c>
      <c r="AN119" s="35">
        <v>11.44936750000943</v>
      </c>
      <c r="AP119" s="35">
        <v>0.34003499999994347</v>
      </c>
      <c r="AQ119" s="35">
        <v>2.1576006249998727</v>
      </c>
      <c r="AR119" s="35">
        <v>2.1576006249998727</v>
      </c>
      <c r="AS119" s="35">
        <v>2.1576006249998727</v>
      </c>
      <c r="AU119" s="35">
        <v>1.1501250000060281</v>
      </c>
      <c r="AV119" s="35">
        <v>5.4284156250062097</v>
      </c>
      <c r="AW119" s="35">
        <v>5.428415625006437</v>
      </c>
      <c r="AX119" s="35">
        <v>5.428415625006437</v>
      </c>
      <c r="AY119" s="3"/>
      <c r="AZ119" s="35">
        <v>19.173164999985602</v>
      </c>
      <c r="BA119" s="35">
        <v>89.953993124989211</v>
      </c>
      <c r="BB119" s="35">
        <v>89.953993124989211</v>
      </c>
      <c r="BC119" s="35">
        <v>89.953993124989211</v>
      </c>
      <c r="BD119" s="3"/>
      <c r="BE119" s="35">
        <v>0.12171000000046206</v>
      </c>
      <c r="BF119" s="35">
        <v>0.57466937500055337</v>
      </c>
      <c r="BG119" s="35">
        <v>0.57466937500055337</v>
      </c>
      <c r="BH119" s="35">
        <v>0.57466937500055337</v>
      </c>
      <c r="BI119" s="3"/>
      <c r="BJ119" s="35">
        <f>IF(Stappen!$BJ$24=OR(1,2),CA119,CF119)</f>
        <v>0.15444000000047708</v>
      </c>
      <c r="BK119" s="35">
        <f>IF(Stappen!$BJ$24=OR(1,2),CB119,CG119)</f>
        <v>0.28309859375036694</v>
      </c>
      <c r="BL119" s="35">
        <f>IF(Stappen!$BJ$24=OR(1,2),CC119,CH119)</f>
        <v>0.28309859375036694</v>
      </c>
      <c r="BM119" s="35">
        <f>IF(Stappen!$BJ$24=OR(1,2),CD119,CI119)</f>
        <v>0.28309859375036694</v>
      </c>
      <c r="BN119" s="3"/>
      <c r="CA119" s="526">
        <v>0.23165999999969245</v>
      </c>
      <c r="CB119" s="526">
        <v>0.42436937499974192</v>
      </c>
      <c r="CC119" s="526">
        <v>0.42436937499974192</v>
      </c>
      <c r="CD119" s="526">
        <v>0.42436937499974192</v>
      </c>
      <c r="CE119" s="526"/>
      <c r="CF119" s="526">
        <v>0.15444000000047708</v>
      </c>
      <c r="CG119" s="526">
        <v>0.28309859375036694</v>
      </c>
      <c r="CH119" s="526">
        <v>0.28309859375036694</v>
      </c>
      <c r="CI119" s="526">
        <v>0.28309859375036694</v>
      </c>
      <c r="CJ119" s="526"/>
    </row>
    <row r="120" spans="34:88" ht="15" x14ac:dyDescent="0.25">
      <c r="AH120" s="291" t="s">
        <v>322</v>
      </c>
      <c r="AI120" s="291"/>
      <c r="AJ120" s="35">
        <f t="shared" si="87"/>
        <v>47</v>
      </c>
      <c r="AK120" s="292">
        <v>466.05600000007553</v>
      </c>
      <c r="AL120" s="292">
        <v>466.05600000007553</v>
      </c>
      <c r="AM120" s="292">
        <v>466.05600000007553</v>
      </c>
      <c r="AN120" s="35">
        <v>8.8634000000001834</v>
      </c>
      <c r="AP120" s="292">
        <v>116.51399999998398</v>
      </c>
      <c r="AQ120" s="292">
        <v>116.51399999998387</v>
      </c>
      <c r="AR120" s="292">
        <v>116.51399999998387</v>
      </c>
      <c r="AS120" s="35">
        <v>1.2909750000006852</v>
      </c>
      <c r="AU120" s="292">
        <v>5.8020000000601613</v>
      </c>
      <c r="AV120" s="292">
        <v>5.8020000000601613</v>
      </c>
      <c r="AW120" s="292">
        <v>5.8020000000601613</v>
      </c>
      <c r="AX120" s="35">
        <v>1.0489249999986896</v>
      </c>
      <c r="AY120" s="3"/>
      <c r="AZ120" s="292">
        <v>96.762000000289845</v>
      </c>
      <c r="BA120" s="292">
        <v>96.762000000289845</v>
      </c>
      <c r="BB120" s="292">
        <v>96.762000000289845</v>
      </c>
      <c r="BC120" s="35">
        <v>19.355175000026065</v>
      </c>
      <c r="BD120" s="3"/>
      <c r="BE120" s="292">
        <v>0.61200000000246746</v>
      </c>
      <c r="BF120" s="292">
        <v>0.61200000000246746</v>
      </c>
      <c r="BG120" s="292">
        <v>0.61200000000246746</v>
      </c>
      <c r="BH120" s="35">
        <v>0.15104999999994106</v>
      </c>
      <c r="BI120" s="3"/>
      <c r="BJ120" s="292">
        <f>IF(Stappen!$BJ$24=OR(1,2),CA120,CF120)</f>
        <v>7.6019999999989523</v>
      </c>
      <c r="BK120" s="292">
        <f>IF(Stappen!$BJ$24=OR(1,2),CB120,CG120)</f>
        <v>7.6019999999989523</v>
      </c>
      <c r="BL120" s="292">
        <f>IF(Stappen!$BJ$24=OR(1,2),CC120,CH120)</f>
        <v>7.6019999999989523</v>
      </c>
      <c r="BM120" s="35">
        <f>IF(Stappen!$BJ$24=OR(1,2),CD120,CI120)</f>
        <v>3.1675000000007003E-2</v>
      </c>
      <c r="BN120" s="3"/>
      <c r="CA120" s="526">
        <v>11.403000000002748</v>
      </c>
      <c r="CB120" s="526">
        <v>11.403000000002805</v>
      </c>
      <c r="CC120" s="526">
        <v>11.403000000002805</v>
      </c>
      <c r="CD120" s="526">
        <v>4.7512500000038926E-2</v>
      </c>
      <c r="CE120" s="526"/>
      <c r="CF120" s="526">
        <v>7.6019999999989523</v>
      </c>
      <c r="CG120" s="526">
        <v>7.6019999999989523</v>
      </c>
      <c r="CH120" s="526">
        <v>7.6019999999989523</v>
      </c>
      <c r="CI120" s="526">
        <v>3.1675000000007003E-2</v>
      </c>
      <c r="CJ120" s="526"/>
    </row>
    <row r="121" spans="34:88" ht="15" x14ac:dyDescent="0.25">
      <c r="AH121" s="291" t="s">
        <v>323</v>
      </c>
      <c r="AI121" s="291"/>
      <c r="AJ121" s="35">
        <f t="shared" si="87"/>
        <v>48</v>
      </c>
      <c r="AK121" s="35">
        <v>31.060929200000828</v>
      </c>
      <c r="AL121" s="35">
        <v>49.700597000001835</v>
      </c>
      <c r="AM121" s="35">
        <v>61.722083000005114</v>
      </c>
      <c r="AN121" s="35">
        <v>61.722083000005114</v>
      </c>
      <c r="AP121" s="35">
        <v>4.6056184999982861</v>
      </c>
      <c r="AQ121" s="35">
        <v>14.010578000001146</v>
      </c>
      <c r="AR121" s="35">
        <v>19.230662000001644</v>
      </c>
      <c r="AS121" s="35">
        <v>19.230662000001644</v>
      </c>
      <c r="AU121" s="35">
        <v>10.140673200000492</v>
      </c>
      <c r="AV121" s="35">
        <v>40.734199999989869</v>
      </c>
      <c r="AW121" s="35">
        <v>58.436913999991702</v>
      </c>
      <c r="AX121" s="35">
        <v>58.436913999991702</v>
      </c>
      <c r="AY121" s="3"/>
      <c r="AZ121" s="35">
        <v>162.8907905000051</v>
      </c>
      <c r="BA121" s="35">
        <v>683.43471499996303</v>
      </c>
      <c r="BB121" s="35">
        <v>978.47427449997485</v>
      </c>
      <c r="BC121" s="35">
        <v>978.47427449997485</v>
      </c>
      <c r="BD121" s="3"/>
      <c r="BE121" s="35">
        <v>1.3813256999997066</v>
      </c>
      <c r="BF121" s="35">
        <v>4.5145850000001246</v>
      </c>
      <c r="BG121" s="35">
        <v>6.3894280000000663</v>
      </c>
      <c r="BH121" s="35">
        <v>6.3894280000000663</v>
      </c>
      <c r="BI121" s="3"/>
      <c r="BJ121" s="35">
        <f>IF(Stappen!$BJ$24=OR(1,2),CA121,CF121)</f>
        <v>8.7331498599977522</v>
      </c>
      <c r="BK121" s="35">
        <f>IF(Stappen!$BJ$24=OR(1,2),CB121,CG121)</f>
        <v>17.291882060000091</v>
      </c>
      <c r="BL121" s="35">
        <f>IF(Stappen!$BJ$24=OR(1,2),CC121,CH121)</f>
        <v>21.202785559999427</v>
      </c>
      <c r="BM121" s="35">
        <f>IF(Stappen!$BJ$24=OR(1,2),CD121,CI121)</f>
        <v>21.202785559999427</v>
      </c>
      <c r="BN121" s="3"/>
      <c r="CA121" s="526">
        <v>13.098071499999378</v>
      </c>
      <c r="CB121" s="526">
        <v>25.937915999999632</v>
      </c>
      <c r="CC121" s="526">
        <v>31.804271250000113</v>
      </c>
      <c r="CD121" s="526">
        <v>31.804271250000113</v>
      </c>
      <c r="CE121" s="526"/>
      <c r="CF121" s="526">
        <v>8.7331498599977522</v>
      </c>
      <c r="CG121" s="526">
        <v>17.291882060000091</v>
      </c>
      <c r="CH121" s="526">
        <v>21.202785559999427</v>
      </c>
      <c r="CI121" s="526">
        <v>21.202785559999427</v>
      </c>
      <c r="CJ121" s="526"/>
    </row>
    <row r="122" spans="34:88" ht="15" x14ac:dyDescent="0.25">
      <c r="AH122" s="291" t="s">
        <v>324</v>
      </c>
      <c r="AI122" s="291"/>
      <c r="AJ122" s="35">
        <f t="shared" si="87"/>
        <v>49</v>
      </c>
      <c r="AK122" s="35">
        <v>4.383032500003992</v>
      </c>
      <c r="AL122" s="35">
        <v>4.383032500003992</v>
      </c>
      <c r="AM122" s="35">
        <v>18.716365833336567</v>
      </c>
      <c r="AN122" s="35">
        <v>17.84908583333754</v>
      </c>
      <c r="AP122" s="35">
        <v>0.43418000000087886</v>
      </c>
      <c r="AQ122" s="35">
        <v>0.43418000000087886</v>
      </c>
      <c r="AR122" s="35">
        <v>3.3008466666665299</v>
      </c>
      <c r="AS122" s="35">
        <v>2.7664066666674216</v>
      </c>
      <c r="AU122" s="35">
        <v>1.2835600000016711</v>
      </c>
      <c r="AV122" s="35">
        <v>1.2835600000016711</v>
      </c>
      <c r="AW122" s="35">
        <v>9.5207660857554401</v>
      </c>
      <c r="AX122" s="35">
        <v>9.0235406085771501</v>
      </c>
      <c r="AY122" s="3"/>
      <c r="AZ122" s="35">
        <v>23.914927500005433</v>
      </c>
      <c r="BA122" s="35">
        <v>23.914927500005433</v>
      </c>
      <c r="BB122" s="35">
        <v>161.24134520399457</v>
      </c>
      <c r="BC122" s="35">
        <v>152.95348927039959</v>
      </c>
      <c r="BD122" s="3"/>
      <c r="BE122" s="35">
        <v>0.13079249999987042</v>
      </c>
      <c r="BF122" s="35">
        <v>0.13079249999987042</v>
      </c>
      <c r="BG122" s="35">
        <v>0.99317147648662285</v>
      </c>
      <c r="BH122" s="35">
        <v>0.94945039764854755</v>
      </c>
      <c r="BI122" s="3"/>
      <c r="BJ122" s="35">
        <f>IF(Stappen!$BJ$24=OR(1,2),CA122,CF122)</f>
        <v>0.39270000000010441</v>
      </c>
      <c r="BK122" s="35">
        <f>IF(Stappen!$BJ$24=OR(1,2),CB122,CG122)</f>
        <v>0.39270000000010441</v>
      </c>
      <c r="BL122" s="35">
        <f>IF(Stappen!$BJ$24=OR(1,2),CC122,CH122)</f>
        <v>2.2364067773167449</v>
      </c>
      <c r="BM122" s="35">
        <f>IF(Stappen!$BJ$24=OR(1,2),CD122,CI122)</f>
        <v>0.57769067773182314</v>
      </c>
      <c r="BN122" s="3"/>
      <c r="CA122" s="526">
        <v>0.58904999999992924</v>
      </c>
      <c r="CB122" s="526">
        <v>0.58904999999998608</v>
      </c>
      <c r="CC122" s="526">
        <v>3.3546101659750889</v>
      </c>
      <c r="CD122" s="526">
        <v>0.86653601659753576</v>
      </c>
      <c r="CE122" s="526"/>
      <c r="CF122" s="526">
        <v>0.39270000000010441</v>
      </c>
      <c r="CG122" s="526">
        <v>0.39270000000010441</v>
      </c>
      <c r="CH122" s="526">
        <v>2.2364067773167449</v>
      </c>
      <c r="CI122" s="526">
        <v>0.57769067773182314</v>
      </c>
      <c r="CJ122" s="526"/>
    </row>
    <row r="123" spans="34:88" ht="15" x14ac:dyDescent="0.25">
      <c r="AH123" s="291" t="s">
        <v>325</v>
      </c>
      <c r="AI123" s="291"/>
      <c r="AJ123" s="35">
        <f t="shared" si="87"/>
        <v>50</v>
      </c>
      <c r="AK123" s="35">
        <v>1.3783600000010665</v>
      </c>
      <c r="AL123" s="35">
        <v>19.126949999998487</v>
      </c>
      <c r="AM123" s="35">
        <v>24.421094999999696</v>
      </c>
      <c r="AN123" s="35">
        <v>58.850354999997762</v>
      </c>
      <c r="AP123" s="35">
        <v>0.23434499999984837</v>
      </c>
      <c r="AQ123" s="35">
        <v>3.8254366666664055</v>
      </c>
      <c r="AR123" s="35">
        <v>4.976474999999823</v>
      </c>
      <c r="AS123" s="35">
        <v>11.395059999999489</v>
      </c>
      <c r="AU123" s="35">
        <v>0.79228499999999258</v>
      </c>
      <c r="AV123" s="35">
        <v>19.333810968187208</v>
      </c>
      <c r="AW123" s="35">
        <v>17.848400373443837</v>
      </c>
      <c r="AX123" s="35">
        <v>37.637162925310349</v>
      </c>
      <c r="AY123" s="3"/>
      <c r="AZ123" s="35">
        <v>13.20874499999627</v>
      </c>
      <c r="BA123" s="35">
        <v>322.32704827109046</v>
      </c>
      <c r="BB123" s="35">
        <v>295.25679790456707</v>
      </c>
      <c r="BC123" s="35">
        <v>625.16815941910318</v>
      </c>
      <c r="BD123" s="3"/>
      <c r="BE123" s="35">
        <v>8.3894999999870379E-2</v>
      </c>
      <c r="BF123" s="35">
        <v>2.0450705947440611</v>
      </c>
      <c r="BG123" s="35">
        <v>1.8862978008298796</v>
      </c>
      <c r="BH123" s="35">
        <v>3.9765294398340529</v>
      </c>
      <c r="BI123" s="3"/>
      <c r="BJ123" s="35">
        <f>IF(Stappen!$BJ$24=OR(1,2),CA123,CF123)</f>
        <v>0.17849999999998545</v>
      </c>
      <c r="BK123" s="35">
        <f>IF(Stappen!$BJ$24=OR(1,2),CB123,CG123)</f>
        <v>4.4826175933610557</v>
      </c>
      <c r="BL123" s="35">
        <f>IF(Stappen!$BJ$24=OR(1,2),CC123,CH123)</f>
        <v>4.1111936431534559</v>
      </c>
      <c r="BM123" s="35">
        <f>IF(Stappen!$BJ$24=OR(1,2),CD123,CI123)</f>
        <v>5.7465707213693804</v>
      </c>
      <c r="BN123" s="3"/>
      <c r="CA123" s="526">
        <v>0.26774999999997817</v>
      </c>
      <c r="CB123" s="526">
        <v>6.7239263900412993</v>
      </c>
      <c r="CC123" s="526">
        <v>6.1669834647296966</v>
      </c>
      <c r="CD123" s="526">
        <v>8.6200638070533273</v>
      </c>
      <c r="CE123" s="526"/>
      <c r="CF123" s="526">
        <v>0.17849999999998545</v>
      </c>
      <c r="CG123" s="526">
        <v>4.4826175933610557</v>
      </c>
      <c r="CH123" s="526">
        <v>4.1111936431534559</v>
      </c>
      <c r="CI123" s="526">
        <v>5.7465707213693804</v>
      </c>
      <c r="CJ123" s="526"/>
    </row>
    <row r="124" spans="34:88" ht="15" x14ac:dyDescent="0.25">
      <c r="AH124" s="291" t="s">
        <v>326</v>
      </c>
      <c r="AI124" s="291"/>
      <c r="AJ124" s="35">
        <f t="shared" si="87"/>
        <v>51</v>
      </c>
      <c r="AK124" s="35">
        <v>0</v>
      </c>
      <c r="AL124" s="35">
        <v>0</v>
      </c>
      <c r="AM124" s="35">
        <v>0</v>
      </c>
      <c r="AN124" s="35">
        <v>0</v>
      </c>
      <c r="AP124" s="35">
        <v>0</v>
      </c>
      <c r="AQ124" s="35">
        <v>0</v>
      </c>
      <c r="AR124" s="35">
        <v>0</v>
      </c>
      <c r="AS124" s="35">
        <v>0</v>
      </c>
      <c r="AU124" s="35">
        <v>0</v>
      </c>
      <c r="AV124" s="35">
        <v>0</v>
      </c>
      <c r="AW124" s="35">
        <v>0</v>
      </c>
      <c r="AX124" s="35">
        <v>0</v>
      </c>
      <c r="AY124" s="3"/>
      <c r="AZ124" s="35">
        <v>0</v>
      </c>
      <c r="BA124" s="35">
        <v>0</v>
      </c>
      <c r="BB124" s="35">
        <v>0</v>
      </c>
      <c r="BC124" s="35">
        <v>0</v>
      </c>
      <c r="BD124" s="3"/>
      <c r="BE124" s="35">
        <v>0</v>
      </c>
      <c r="BF124" s="35">
        <v>0</v>
      </c>
      <c r="BG124" s="35">
        <v>0</v>
      </c>
      <c r="BH124" s="35">
        <v>0</v>
      </c>
      <c r="BI124" s="3"/>
      <c r="BJ124" s="35">
        <f>IF(Stappen!$BJ$24=OR(1,2),CA124,CF124)</f>
        <v>0</v>
      </c>
      <c r="BK124" s="35">
        <f>IF(Stappen!$BJ$24=OR(1,2),CB124,CG124)</f>
        <v>0</v>
      </c>
      <c r="BL124" s="35">
        <f>IF(Stappen!$BJ$24=OR(1,2),CC124,CH124)</f>
        <v>0</v>
      </c>
      <c r="BM124" s="35">
        <f>IF(Stappen!$BJ$24=OR(1,2),CD124,CI124)</f>
        <v>0</v>
      </c>
      <c r="BN124" s="3"/>
      <c r="CA124" s="526">
        <v>0</v>
      </c>
      <c r="CB124" s="526">
        <v>0</v>
      </c>
      <c r="CC124" s="526">
        <v>0</v>
      </c>
      <c r="CD124" s="526">
        <v>0</v>
      </c>
      <c r="CE124" s="526"/>
      <c r="CF124" s="526">
        <v>0</v>
      </c>
      <c r="CG124" s="526">
        <v>0</v>
      </c>
      <c r="CH124" s="526">
        <v>0</v>
      </c>
      <c r="CI124" s="526">
        <v>0</v>
      </c>
      <c r="CJ124" s="526"/>
    </row>
    <row r="125" spans="34:88" ht="15" x14ac:dyDescent="0.25">
      <c r="AH125" s="290" t="s">
        <v>12</v>
      </c>
      <c r="AI125" s="290"/>
      <c r="AJ125" s="35">
        <f t="shared" si="87"/>
        <v>52</v>
      </c>
      <c r="AK125" s="35"/>
      <c r="AL125" s="35"/>
      <c r="AM125" s="35"/>
      <c r="AN125" s="35"/>
      <c r="AP125" s="35"/>
      <c r="AQ125" s="35"/>
      <c r="AR125" s="35"/>
      <c r="AS125" s="35"/>
      <c r="AU125" s="35"/>
      <c r="AV125" s="35"/>
      <c r="AW125" s="35"/>
      <c r="AX125" s="35"/>
      <c r="AY125" s="3"/>
      <c r="AZ125" s="35"/>
      <c r="BA125" s="35"/>
      <c r="BB125" s="35"/>
      <c r="BC125" s="35"/>
      <c r="BD125" s="3"/>
      <c r="BE125" s="35"/>
      <c r="BF125" s="35"/>
      <c r="BG125" s="35"/>
      <c r="BH125" s="35"/>
      <c r="BI125" s="3"/>
      <c r="BJ125" s="35"/>
      <c r="BK125" s="35"/>
      <c r="BL125" s="35"/>
      <c r="BM125" s="35"/>
      <c r="BN125" s="3"/>
      <c r="CA125" s="526"/>
      <c r="CB125" s="526"/>
      <c r="CC125" s="526"/>
      <c r="CD125" s="526"/>
      <c r="CE125" s="526"/>
      <c r="CF125" s="526"/>
      <c r="CG125" s="526"/>
      <c r="CH125" s="526"/>
      <c r="CI125" s="526"/>
      <c r="CJ125" s="526"/>
    </row>
    <row r="126" spans="34:88" ht="15" x14ac:dyDescent="0.25">
      <c r="AH126" s="291" t="s">
        <v>57</v>
      </c>
      <c r="AI126" s="291"/>
      <c r="AJ126" s="35">
        <f t="shared" si="87"/>
        <v>53</v>
      </c>
      <c r="AK126" s="35">
        <v>23147.134999999907</v>
      </c>
      <c r="AL126" s="292">
        <v>35078.179999999935</v>
      </c>
      <c r="AM126" s="292">
        <v>50863.360000000015</v>
      </c>
      <c r="AN126" s="292">
        <v>4384.7699999999604</v>
      </c>
      <c r="AO126" s="79"/>
      <c r="AP126" s="35">
        <v>6018.2550000000265</v>
      </c>
      <c r="AQ126" s="292">
        <v>7665.7100000000055</v>
      </c>
      <c r="AR126" s="292">
        <v>11115.279999999999</v>
      </c>
      <c r="AS126" s="35">
        <v>958.21499999998912</v>
      </c>
      <c r="AU126" s="35">
        <v>17103.264999999999</v>
      </c>
      <c r="AV126" s="292">
        <v>20540.63999999997</v>
      </c>
      <c r="AW126" s="292">
        <v>29783.930000000008</v>
      </c>
      <c r="AX126" s="292">
        <v>2567.5800000000017</v>
      </c>
      <c r="AY126" s="3"/>
      <c r="AZ126" s="35">
        <v>247976.53500000061</v>
      </c>
      <c r="BA126" s="292">
        <v>301040.80999999866</v>
      </c>
      <c r="BB126" s="292">
        <v>436509.17499999981</v>
      </c>
      <c r="BC126" s="292">
        <v>37630.100000000552</v>
      </c>
      <c r="BD126" s="3"/>
      <c r="BE126" s="35">
        <v>1805.0099999999984</v>
      </c>
      <c r="BF126" s="292">
        <v>2126.0649999999987</v>
      </c>
      <c r="BG126" s="292">
        <v>3082.78999999999</v>
      </c>
      <c r="BH126" s="292">
        <v>265.76000000000192</v>
      </c>
      <c r="BI126" s="3"/>
      <c r="BJ126" s="35">
        <f>IF(Stappen!$BJ$24=OR(1,2),CA126,CF126)</f>
        <v>5843.9668500000098</v>
      </c>
      <c r="BK126" s="292">
        <f>IF(Stappen!$BJ$24=OR(1,2),CB126,CG126)</f>
        <v>4032.8399999999929</v>
      </c>
      <c r="BL126" s="292">
        <f>IF(Stappen!$BJ$24=OR(1,2),CC126,CH126)</f>
        <v>5847.619999999999</v>
      </c>
      <c r="BM126" s="292">
        <f>IF(Stappen!$BJ$24=OR(1,2),CD126,CI126)</f>
        <v>504.10999999999336</v>
      </c>
      <c r="BN126" s="3"/>
      <c r="CA126" s="526">
        <v>8774.7249999999949</v>
      </c>
      <c r="CB126" s="526">
        <v>6049.2599999999657</v>
      </c>
      <c r="CC126" s="526">
        <v>8771.4300000000367</v>
      </c>
      <c r="CD126" s="526">
        <v>756.16499999999724</v>
      </c>
      <c r="CE126" s="526"/>
      <c r="CF126" s="526">
        <v>5843.9668500000098</v>
      </c>
      <c r="CG126" s="526">
        <v>4032.8399999999929</v>
      </c>
      <c r="CH126" s="526">
        <v>5847.619999999999</v>
      </c>
      <c r="CI126" s="526">
        <v>504.10999999999336</v>
      </c>
      <c r="CJ126" s="526"/>
    </row>
    <row r="127" spans="34:88" ht="15" x14ac:dyDescent="0.25">
      <c r="AH127" s="288" t="s">
        <v>235</v>
      </c>
      <c r="AI127" s="288"/>
      <c r="AJ127" s="35">
        <f t="shared" si="87"/>
        <v>54</v>
      </c>
      <c r="AK127" s="36"/>
      <c r="AL127" s="36"/>
      <c r="AM127" s="36"/>
      <c r="AN127" s="36"/>
      <c r="AO127" s="79"/>
      <c r="AP127" s="36"/>
      <c r="AQ127" s="36"/>
      <c r="AR127" s="36"/>
      <c r="AS127" s="36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CA127" s="526"/>
      <c r="CB127" s="526"/>
      <c r="CC127" s="526"/>
      <c r="CD127" s="526"/>
      <c r="CE127" s="526"/>
      <c r="CF127" s="526"/>
      <c r="CG127" s="526"/>
      <c r="CH127" s="526"/>
      <c r="CI127" s="526"/>
      <c r="CJ127" s="526"/>
    </row>
    <row r="128" spans="34:88" ht="15" x14ac:dyDescent="0.25">
      <c r="AH128" s="290" t="s">
        <v>241</v>
      </c>
      <c r="AI128" s="290"/>
      <c r="AJ128" s="35">
        <f t="shared" si="87"/>
        <v>55</v>
      </c>
      <c r="AK128" s="35"/>
      <c r="AL128" s="35"/>
      <c r="AM128" s="35"/>
      <c r="AN128" s="35"/>
      <c r="AP128" s="35"/>
      <c r="AQ128" s="35"/>
      <c r="AR128" s="35"/>
      <c r="AS128" s="35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CA128" s="526"/>
      <c r="CB128" s="526"/>
      <c r="CC128" s="526"/>
      <c r="CD128" s="526"/>
      <c r="CE128" s="526"/>
      <c r="CF128" s="526"/>
      <c r="CG128" s="526"/>
      <c r="CH128" s="526"/>
      <c r="CI128" s="526"/>
      <c r="CJ128" s="526"/>
    </row>
    <row r="129" spans="34:88" ht="15" x14ac:dyDescent="0.25">
      <c r="AH129" s="291" t="s">
        <v>58</v>
      </c>
      <c r="AI129" s="291"/>
      <c r="AJ129" s="35">
        <f t="shared" si="87"/>
        <v>56</v>
      </c>
      <c r="AK129" s="35">
        <v>32.783328000004985</v>
      </c>
      <c r="AL129" s="35">
        <v>32.783328000004985</v>
      </c>
      <c r="AM129" s="35">
        <v>32.783328000004985</v>
      </c>
      <c r="AN129" s="35">
        <v>32.783327999999528</v>
      </c>
      <c r="AP129" s="35">
        <v>4.5716449999999895</v>
      </c>
      <c r="AQ129" s="35">
        <v>4.5716450000018085</v>
      </c>
      <c r="AR129" s="35">
        <v>4.5716450000018085</v>
      </c>
      <c r="AS129" s="35">
        <v>4.5716450000004443</v>
      </c>
      <c r="AU129" s="3">
        <v>15.44717799999853</v>
      </c>
      <c r="AV129" s="3">
        <v>15.44717799999853</v>
      </c>
      <c r="AW129" s="3">
        <v>15.44717799999853</v>
      </c>
      <c r="AX129" s="3">
        <v>15.44717799999944</v>
      </c>
      <c r="AY129" s="3"/>
      <c r="AZ129" s="3">
        <v>247.44957500003511</v>
      </c>
      <c r="BA129" s="3">
        <v>247.44957500003511</v>
      </c>
      <c r="BB129" s="3">
        <v>247.44957500003511</v>
      </c>
      <c r="BC129" s="3">
        <v>247.44957499999146</v>
      </c>
      <c r="BD129" s="3"/>
      <c r="BE129" s="3">
        <v>3.3134279999999308</v>
      </c>
      <c r="BF129" s="3">
        <v>3.3134279999999308</v>
      </c>
      <c r="BG129" s="3">
        <v>3.3134280000003855</v>
      </c>
      <c r="BH129" s="3">
        <v>3.3134279999997034</v>
      </c>
      <c r="BI129" s="3"/>
      <c r="BJ129" s="3">
        <f>IF(Stappen!$BJ$24=OR(1,2),CA129,CF129)</f>
        <v>3.1708228999987114</v>
      </c>
      <c r="BK129" s="3">
        <f>IF(Stappen!$BJ$24=OR(1,2),CB129,CG129)</f>
        <v>3.1708228999987114</v>
      </c>
      <c r="BL129" s="3">
        <f>IF(Stappen!$BJ$24=OR(1,2),CC129,CH129)</f>
        <v>3.1708228999987114</v>
      </c>
      <c r="BM129" s="3">
        <f>IF(Stappen!$BJ$24=OR(1,2),CD129,CI129)</f>
        <v>3.1708228999998482</v>
      </c>
      <c r="BN129" s="3"/>
      <c r="CA129" s="526">
        <v>4.7582689999999275</v>
      </c>
      <c r="CB129" s="526">
        <v>4.758269000000837</v>
      </c>
      <c r="CC129" s="526">
        <v>4.7582689999999275</v>
      </c>
      <c r="CD129" s="526">
        <v>4.7582690000001548</v>
      </c>
      <c r="CE129" s="526"/>
      <c r="CF129" s="526">
        <v>3.1708228999987114</v>
      </c>
      <c r="CG129" s="526">
        <v>3.1708228999987114</v>
      </c>
      <c r="CH129" s="526">
        <v>3.1708228999987114</v>
      </c>
      <c r="CI129" s="526">
        <v>3.1708228999998482</v>
      </c>
      <c r="CJ129" s="526"/>
    </row>
    <row r="130" spans="34:88" ht="15" x14ac:dyDescent="0.25">
      <c r="AH130" s="288" t="s">
        <v>59</v>
      </c>
      <c r="AI130" s="288"/>
      <c r="AJ130" s="35">
        <f t="shared" si="87"/>
        <v>57</v>
      </c>
      <c r="AK130" s="35"/>
      <c r="AL130" s="35"/>
      <c r="AM130" s="35"/>
      <c r="AN130" s="35"/>
      <c r="AP130" s="35"/>
      <c r="AQ130" s="35"/>
      <c r="AR130" s="35"/>
      <c r="AS130" s="35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CA130" s="526"/>
      <c r="CB130" s="526"/>
      <c r="CC130" s="526"/>
      <c r="CD130" s="526"/>
      <c r="CE130" s="526"/>
      <c r="CF130" s="526"/>
      <c r="CG130" s="526"/>
      <c r="CH130" s="526"/>
      <c r="CI130" s="526"/>
      <c r="CJ130" s="526"/>
    </row>
    <row r="131" spans="34:88" ht="15" x14ac:dyDescent="0.25">
      <c r="AH131" s="290" t="s">
        <v>59</v>
      </c>
      <c r="AI131" s="290"/>
      <c r="AJ131" s="35">
        <f t="shared" si="87"/>
        <v>58</v>
      </c>
      <c r="AK131" s="35"/>
      <c r="AL131" s="35"/>
      <c r="AM131" s="35"/>
      <c r="AN131" s="35"/>
      <c r="AP131" s="35"/>
      <c r="AQ131" s="35"/>
      <c r="AR131" s="35"/>
      <c r="AS131" s="35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CA131" s="526"/>
      <c r="CB131" s="526"/>
      <c r="CC131" s="526"/>
      <c r="CD131" s="526"/>
      <c r="CE131" s="526"/>
      <c r="CF131" s="526"/>
      <c r="CG131" s="526"/>
      <c r="CH131" s="526"/>
      <c r="CI131" s="526"/>
      <c r="CJ131" s="526"/>
    </row>
    <row r="132" spans="34:88" ht="15" x14ac:dyDescent="0.25">
      <c r="AH132" s="291" t="s">
        <v>59</v>
      </c>
      <c r="AI132" s="291"/>
      <c r="AJ132" s="35">
        <f t="shared" si="87"/>
        <v>59</v>
      </c>
      <c r="AK132" s="35">
        <v>10.191454285712098</v>
      </c>
      <c r="AL132" s="35">
        <v>29.44535928570258</v>
      </c>
      <c r="AM132" s="35">
        <v>42.785909285703383</v>
      </c>
      <c r="AN132" s="35">
        <v>61.080651785715418</v>
      </c>
      <c r="AP132" s="35">
        <v>2.9028500000003987</v>
      </c>
      <c r="AQ132" s="35">
        <v>7.6720124999992549</v>
      </c>
      <c r="AR132" s="35">
        <v>10.968037499997081</v>
      </c>
      <c r="AS132" s="35">
        <v>15.368068749999566</v>
      </c>
      <c r="AU132" s="3">
        <v>12.621989999999641</v>
      </c>
      <c r="AV132" s="3">
        <v>35.471645000001445</v>
      </c>
      <c r="AW132" s="3">
        <v>49.195169999999052</v>
      </c>
      <c r="AX132" s="3">
        <v>64.970452500000647</v>
      </c>
      <c r="AY132" s="3"/>
      <c r="AZ132" s="3">
        <v>83.778995238069911</v>
      </c>
      <c r="BA132" s="3">
        <v>201.8403077381663</v>
      </c>
      <c r="BB132" s="3">
        <v>299.56250773812644</v>
      </c>
      <c r="BC132" s="3">
        <v>467.14867648808286</v>
      </c>
      <c r="BD132" s="3"/>
      <c r="BE132" s="3">
        <v>6.1075019047616479</v>
      </c>
      <c r="BF132" s="3">
        <v>16.893381904761554</v>
      </c>
      <c r="BG132" s="3">
        <v>24.977706904762272</v>
      </c>
      <c r="BH132" s="3">
        <v>28.176204404761393</v>
      </c>
      <c r="BI132" s="3"/>
      <c r="BJ132" s="3">
        <f>IF(Stappen!$BJ$24=OR(1,2),CA132,CF132)</f>
        <v>2.1759499999998297</v>
      </c>
      <c r="BK132" s="3">
        <f>IF(Stappen!$BJ$24=OR(1,2),CB132,CG132)</f>
        <v>7.1018737499998679</v>
      </c>
      <c r="BL132" s="3">
        <f>IF(Stappen!$BJ$24=OR(1,2),CC132,CH132)</f>
        <v>7.680373750000399</v>
      </c>
      <c r="BM132" s="3">
        <f>IF(Stappen!$BJ$24=OR(1,2),CD132,CI132)</f>
        <v>11.202655625000034</v>
      </c>
      <c r="BN132" s="3"/>
      <c r="CA132" s="526">
        <v>2.9050750000005792</v>
      </c>
      <c r="CB132" s="526">
        <v>10.046327000000019</v>
      </c>
      <c r="CC132" s="526">
        <v>10.911577000000761</v>
      </c>
      <c r="CD132" s="526">
        <v>15.684898000000203</v>
      </c>
      <c r="CE132" s="526"/>
      <c r="CF132" s="526">
        <v>2.1759499999998297</v>
      </c>
      <c r="CG132" s="526">
        <v>7.1018737499998679</v>
      </c>
      <c r="CH132" s="526">
        <v>7.680373750000399</v>
      </c>
      <c r="CI132" s="526">
        <v>11.202655625000034</v>
      </c>
      <c r="CJ132" s="526"/>
    </row>
    <row r="133" spans="34:88" ht="15" x14ac:dyDescent="0.25">
      <c r="AH133" s="288" t="s">
        <v>236</v>
      </c>
      <c r="AI133" s="288"/>
      <c r="AJ133" s="35">
        <f t="shared" si="87"/>
        <v>60</v>
      </c>
      <c r="AK133" s="35"/>
      <c r="AL133" s="35"/>
      <c r="AM133" s="35"/>
      <c r="AN133" s="35"/>
      <c r="AP133" s="35"/>
      <c r="AQ133" s="35"/>
      <c r="AR133" s="35"/>
      <c r="AS133" s="35"/>
      <c r="BD133" s="3"/>
      <c r="BI133" s="3"/>
      <c r="BN133" s="3"/>
      <c r="CA133" s="526"/>
      <c r="CB133" s="526"/>
      <c r="CC133" s="526"/>
      <c r="CD133" s="526"/>
      <c r="CE133" s="526"/>
      <c r="CF133" s="526"/>
      <c r="CG133" s="526"/>
      <c r="CH133" s="526"/>
      <c r="CI133" s="526"/>
      <c r="CJ133" s="526"/>
    </row>
    <row r="134" spans="34:88" ht="15" x14ac:dyDescent="0.25">
      <c r="AH134" s="290" t="s">
        <v>236</v>
      </c>
      <c r="AI134" s="290"/>
      <c r="AJ134" s="35">
        <f t="shared" si="87"/>
        <v>61</v>
      </c>
      <c r="AK134" s="35"/>
      <c r="AL134" s="35"/>
      <c r="AM134" s="35"/>
      <c r="AN134" s="35"/>
      <c r="AP134" s="35"/>
      <c r="AQ134" s="35"/>
      <c r="AR134" s="35"/>
      <c r="AS134" s="35"/>
      <c r="BD134" s="3"/>
      <c r="BI134" s="3"/>
      <c r="BN134" s="3"/>
      <c r="CA134" s="526"/>
      <c r="CB134" s="526"/>
      <c r="CC134" s="526"/>
      <c r="CD134" s="526"/>
      <c r="CE134" s="526"/>
      <c r="CF134" s="526"/>
      <c r="CG134" s="526"/>
      <c r="CH134" s="526"/>
      <c r="CI134" s="526"/>
      <c r="CJ134" s="526"/>
    </row>
    <row r="135" spans="34:88" ht="15" x14ac:dyDescent="0.25">
      <c r="AH135" s="291" t="s">
        <v>236</v>
      </c>
      <c r="AI135" s="291"/>
      <c r="AJ135" s="35">
        <f t="shared" si="87"/>
        <v>62</v>
      </c>
      <c r="AK135" s="52">
        <v>0</v>
      </c>
      <c r="AL135" s="52">
        <v>0</v>
      </c>
      <c r="AM135" s="52">
        <v>0</v>
      </c>
      <c r="AN135" s="52">
        <v>0</v>
      </c>
      <c r="AP135" s="35">
        <v>0</v>
      </c>
      <c r="AQ135" s="35">
        <v>0</v>
      </c>
      <c r="AR135" s="35">
        <v>0</v>
      </c>
      <c r="AS135" s="35">
        <v>0</v>
      </c>
      <c r="AU135" s="4">
        <v>0</v>
      </c>
      <c r="AV135" s="4">
        <v>0</v>
      </c>
      <c r="AW135" s="4">
        <v>0</v>
      </c>
      <c r="AX135" s="4">
        <v>0</v>
      </c>
      <c r="AZ135" s="4">
        <v>0</v>
      </c>
      <c r="BA135" s="4">
        <v>0</v>
      </c>
      <c r="BB135" s="4">
        <v>0</v>
      </c>
      <c r="BC135" s="4">
        <v>0</v>
      </c>
      <c r="BD135" s="3"/>
      <c r="BE135" s="4">
        <v>0</v>
      </c>
      <c r="BF135" s="4">
        <v>0</v>
      </c>
      <c r="BG135" s="4">
        <v>0</v>
      </c>
      <c r="BH135" s="4">
        <v>0</v>
      </c>
      <c r="BI135" s="3"/>
      <c r="BJ135" s="4">
        <f>IF(Stappen!$BJ$24=OR(1,2),CA135,CF135)</f>
        <v>0</v>
      </c>
      <c r="BK135" s="4">
        <f>IF(Stappen!$BJ$24=OR(1,2),CB135,CG135)</f>
        <v>0</v>
      </c>
      <c r="BL135" s="4">
        <f>IF(Stappen!$BJ$24=OR(1,2),CC135,CH135)</f>
        <v>0</v>
      </c>
      <c r="BM135" s="4">
        <f>IF(Stappen!$BJ$24=OR(1,2),CD135,CI135)</f>
        <v>0</v>
      </c>
      <c r="BN135" s="3"/>
      <c r="CA135" s="526">
        <v>0</v>
      </c>
      <c r="CB135" s="526">
        <v>0</v>
      </c>
      <c r="CC135" s="526">
        <v>0</v>
      </c>
      <c r="CD135" s="526">
        <v>0</v>
      </c>
      <c r="CE135" s="526"/>
      <c r="CF135" s="526">
        <v>0</v>
      </c>
      <c r="CG135" s="526">
        <v>0</v>
      </c>
      <c r="CH135" s="526">
        <v>0</v>
      </c>
      <c r="CI135" s="526">
        <v>0</v>
      </c>
      <c r="CJ135" s="526"/>
    </row>
    <row r="136" spans="34:88" ht="15" x14ac:dyDescent="0.25">
      <c r="AH136" s="288"/>
      <c r="AI136" s="288"/>
      <c r="AJ136" s="35"/>
      <c r="AK136" s="35"/>
      <c r="AL136" s="35"/>
      <c r="AM136" s="35"/>
      <c r="AN136" s="35"/>
      <c r="AP136" s="35"/>
      <c r="AQ136" s="35"/>
      <c r="AR136" s="35"/>
      <c r="AS136" s="35"/>
      <c r="CA136"/>
      <c r="CB136"/>
      <c r="CC136"/>
      <c r="CD136"/>
      <c r="CE136"/>
      <c r="CF136"/>
      <c r="CG136"/>
      <c r="CH136"/>
      <c r="CI136"/>
      <c r="CJ136"/>
    </row>
    <row r="137" spans="34:88" ht="15" x14ac:dyDescent="0.25">
      <c r="CA137"/>
      <c r="CB137"/>
      <c r="CC137"/>
      <c r="CD137"/>
      <c r="CE137"/>
      <c r="CF137"/>
      <c r="CG137"/>
      <c r="CH137"/>
      <c r="CI137"/>
      <c r="CJ137"/>
    </row>
    <row r="138" spans="34:88" ht="15" x14ac:dyDescent="0.25">
      <c r="CA138"/>
      <c r="CB138"/>
      <c r="CC138"/>
      <c r="CD138"/>
      <c r="CE138"/>
      <c r="CF138"/>
      <c r="CG138"/>
      <c r="CH138"/>
      <c r="CI138"/>
      <c r="CJ138"/>
    </row>
    <row r="139" spans="34:88" ht="15" x14ac:dyDescent="0.25">
      <c r="CA139"/>
      <c r="CB139"/>
      <c r="CC139"/>
      <c r="CD139"/>
      <c r="CE139"/>
      <c r="CF139"/>
      <c r="CG139"/>
      <c r="CH139"/>
      <c r="CI139"/>
      <c r="CJ139"/>
    </row>
    <row r="140" spans="34:88" ht="15" x14ac:dyDescent="0.25">
      <c r="CA140"/>
      <c r="CB140"/>
      <c r="CC140"/>
      <c r="CD140"/>
      <c r="CE140"/>
      <c r="CF140"/>
      <c r="CG140"/>
      <c r="CH140"/>
      <c r="CI140"/>
      <c r="CJ140"/>
    </row>
    <row r="141" spans="34:88" ht="15" x14ac:dyDescent="0.25">
      <c r="CA141"/>
      <c r="CB141"/>
      <c r="CC141"/>
      <c r="CD141"/>
      <c r="CE141"/>
      <c r="CF141"/>
      <c r="CG141"/>
      <c r="CH141"/>
      <c r="CI141"/>
      <c r="CJ141"/>
    </row>
    <row r="142" spans="34:88" ht="15" x14ac:dyDescent="0.25">
      <c r="CA142"/>
      <c r="CB142"/>
      <c r="CC142"/>
      <c r="CD142"/>
      <c r="CE142"/>
      <c r="CF142"/>
      <c r="CG142"/>
      <c r="CH142"/>
      <c r="CI142"/>
      <c r="CJ142"/>
    </row>
    <row r="143" spans="34:88" ht="15" x14ac:dyDescent="0.25">
      <c r="CA143"/>
      <c r="CB143"/>
      <c r="CC143"/>
      <c r="CD143"/>
      <c r="CE143"/>
      <c r="CF143"/>
      <c r="CG143"/>
      <c r="CH143"/>
      <c r="CI143"/>
      <c r="CJ143"/>
    </row>
    <row r="144" spans="34:88" ht="15" x14ac:dyDescent="0.25">
      <c r="CA144"/>
      <c r="CB144"/>
      <c r="CC144"/>
      <c r="CD144"/>
      <c r="CE144"/>
      <c r="CF144"/>
      <c r="CG144"/>
      <c r="CH144"/>
      <c r="CI144"/>
      <c r="CJ144"/>
    </row>
    <row r="145" spans="79:88" ht="15" x14ac:dyDescent="0.25">
      <c r="CA145" s="4"/>
      <c r="CB145" s="4"/>
      <c r="CC145" s="4"/>
      <c r="CD145" s="4"/>
      <c r="CE145"/>
      <c r="CF145" s="4"/>
      <c r="CG145" s="4"/>
      <c r="CH145" s="4"/>
      <c r="CI145" s="4"/>
      <c r="CJ145"/>
    </row>
    <row r="146" spans="79:88" ht="15" x14ac:dyDescent="0.25">
      <c r="CA146" s="4"/>
      <c r="CB146" s="4"/>
      <c r="CC146" s="4"/>
      <c r="CD146" s="4"/>
      <c r="CE146"/>
      <c r="CF146" s="4"/>
      <c r="CG146" s="4"/>
      <c r="CH146" s="4"/>
      <c r="CI146" s="4"/>
      <c r="CJ146"/>
    </row>
    <row r="147" spans="79:88" ht="15" x14ac:dyDescent="0.25">
      <c r="CA147" s="4"/>
      <c r="CB147" s="4"/>
      <c r="CC147" s="4"/>
      <c r="CD147" s="4"/>
      <c r="CE147"/>
      <c r="CF147" s="4"/>
      <c r="CG147" s="4"/>
      <c r="CH147" s="4"/>
      <c r="CI147" s="4"/>
      <c r="CJ147"/>
    </row>
    <row r="148" spans="79:88" ht="15" x14ac:dyDescent="0.25">
      <c r="CA148" s="4"/>
      <c r="CB148" s="4"/>
      <c r="CC148" s="4"/>
      <c r="CD148" s="4"/>
      <c r="CE148"/>
      <c r="CF148" s="4"/>
      <c r="CG148" s="4"/>
      <c r="CH148" s="4"/>
      <c r="CI148" s="4"/>
      <c r="CJ148"/>
    </row>
    <row r="149" spans="79:88" ht="15" x14ac:dyDescent="0.25">
      <c r="CA149" s="364"/>
      <c r="CB149" s="364"/>
      <c r="CC149" s="364"/>
      <c r="CD149" s="364"/>
      <c r="CE149"/>
      <c r="CF149" s="364"/>
      <c r="CG149" s="364"/>
      <c r="CH149" s="364"/>
      <c r="CI149" s="364"/>
      <c r="CJ149"/>
    </row>
    <row r="150" spans="79:88" ht="15" x14ac:dyDescent="0.25">
      <c r="CA150" s="364"/>
      <c r="CB150" s="364"/>
      <c r="CC150" s="364"/>
      <c r="CD150" s="364"/>
      <c r="CE150"/>
      <c r="CF150" s="364"/>
      <c r="CG150" s="364"/>
      <c r="CH150" s="364"/>
      <c r="CI150" s="364"/>
      <c r="CJ150"/>
    </row>
    <row r="151" spans="79:88" ht="15" x14ac:dyDescent="0.25">
      <c r="CA151" s="364"/>
      <c r="CB151" s="364"/>
      <c r="CC151" s="364"/>
      <c r="CD151" s="364"/>
      <c r="CE151"/>
      <c r="CF151" s="364"/>
      <c r="CG151" s="364"/>
      <c r="CH151" s="364"/>
      <c r="CI151" s="364"/>
      <c r="CJ151"/>
    </row>
    <row r="152" spans="79:88" ht="15" x14ac:dyDescent="0.25">
      <c r="CA152" s="4"/>
      <c r="CB152" s="4"/>
      <c r="CC152" s="4"/>
      <c r="CD152" s="4"/>
      <c r="CE152"/>
      <c r="CF152" s="4"/>
      <c r="CG152" s="4"/>
      <c r="CH152" s="4"/>
      <c r="CI152" s="4"/>
      <c r="CJ152"/>
    </row>
    <row r="153" spans="79:88" ht="15" x14ac:dyDescent="0.25">
      <c r="CA153" s="4"/>
      <c r="CB153" s="4"/>
      <c r="CC153" s="4"/>
      <c r="CD153" s="4"/>
      <c r="CE153"/>
      <c r="CF153" s="4"/>
      <c r="CG153" s="4"/>
      <c r="CH153" s="4"/>
      <c r="CI153" s="4"/>
      <c r="CJ153"/>
    </row>
    <row r="154" spans="79:88" ht="15" x14ac:dyDescent="0.25">
      <c r="CA154" s="4"/>
      <c r="CB154"/>
      <c r="CC154"/>
      <c r="CD154"/>
      <c r="CE154"/>
      <c r="CF154" s="4"/>
      <c r="CG154"/>
      <c r="CH154"/>
      <c r="CI154"/>
      <c r="CJ154"/>
    </row>
    <row r="155" spans="79:88" ht="15" x14ac:dyDescent="0.25">
      <c r="CA155" s="364"/>
      <c r="CB155"/>
      <c r="CC155"/>
      <c r="CD155"/>
      <c r="CE155"/>
      <c r="CF155" s="364"/>
      <c r="CG155"/>
      <c r="CH155"/>
      <c r="CI155"/>
      <c r="CJ155"/>
    </row>
    <row r="156" spans="79:88" ht="15" x14ac:dyDescent="0.25">
      <c r="CA156" s="4"/>
      <c r="CB156" s="4"/>
      <c r="CC156" s="4"/>
      <c r="CD156" s="4"/>
      <c r="CE156"/>
      <c r="CF156" s="4"/>
      <c r="CG156" s="4"/>
      <c r="CH156" s="4"/>
      <c r="CI156" s="4"/>
      <c r="CJ156"/>
    </row>
    <row r="157" spans="79:88" ht="15" x14ac:dyDescent="0.25">
      <c r="CA157" s="4"/>
      <c r="CB157" s="4"/>
      <c r="CC157" s="4"/>
      <c r="CD157" s="4"/>
      <c r="CE157"/>
      <c r="CF157" s="4"/>
      <c r="CG157" s="4"/>
      <c r="CH157" s="4"/>
      <c r="CI157" s="4"/>
      <c r="CJ157"/>
    </row>
    <row r="158" spans="79:88" ht="15" x14ac:dyDescent="0.25">
      <c r="CA158" s="4"/>
      <c r="CB158" s="4"/>
      <c r="CC158" s="4"/>
      <c r="CD158" s="4"/>
      <c r="CE158"/>
      <c r="CF158" s="4"/>
      <c r="CG158" s="4"/>
      <c r="CH158" s="4"/>
      <c r="CI158" s="4"/>
      <c r="CJ158"/>
    </row>
    <row r="159" spans="79:88" ht="15" x14ac:dyDescent="0.25">
      <c r="CA159" s="4"/>
      <c r="CB159" s="4"/>
      <c r="CC159" s="4"/>
      <c r="CD159" s="4"/>
      <c r="CE159"/>
      <c r="CF159" s="4"/>
      <c r="CG159" s="4"/>
      <c r="CH159" s="4"/>
      <c r="CI159" s="4"/>
      <c r="CJ159"/>
    </row>
    <row r="160" spans="79:88" ht="15" x14ac:dyDescent="0.25">
      <c r="CA160" s="4"/>
      <c r="CB160" s="4"/>
      <c r="CC160" s="4"/>
      <c r="CD160" s="4"/>
      <c r="CE160"/>
      <c r="CF160" s="4"/>
      <c r="CG160" s="4"/>
      <c r="CH160" s="4"/>
      <c r="CI160" s="4"/>
      <c r="CJ160"/>
    </row>
    <row r="161" spans="79:88" ht="15" x14ac:dyDescent="0.25">
      <c r="CA161" s="4"/>
      <c r="CB161" s="4"/>
      <c r="CC161" s="4"/>
      <c r="CD161" s="4"/>
      <c r="CE161"/>
      <c r="CF161" s="4"/>
      <c r="CG161" s="4"/>
      <c r="CH161" s="4"/>
      <c r="CI161" s="4"/>
      <c r="CJ161"/>
    </row>
    <row r="162" spans="79:88" ht="15" x14ac:dyDescent="0.25">
      <c r="CA162" s="4"/>
      <c r="CB162" s="4"/>
      <c r="CC162" s="4"/>
      <c r="CD162" s="4"/>
      <c r="CE162"/>
      <c r="CF162" s="4"/>
      <c r="CG162" s="4"/>
      <c r="CH162" s="4"/>
      <c r="CI162" s="4"/>
      <c r="CJ162"/>
    </row>
    <row r="163" spans="79:88" ht="15" x14ac:dyDescent="0.25">
      <c r="CA163" s="4"/>
      <c r="CB163"/>
      <c r="CC163"/>
      <c r="CD163"/>
      <c r="CE163"/>
      <c r="CF163" s="4"/>
      <c r="CG163"/>
      <c r="CH163"/>
      <c r="CI163"/>
      <c r="CJ163"/>
    </row>
  </sheetData>
  <sheetProtection password="D087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Stappen</vt:lpstr>
      <vt:lpstr>Referentieproject</vt:lpstr>
      <vt:lpstr>Kostengegevens</vt:lpstr>
      <vt:lpstr>Referentieproject!Afdrukbereik</vt:lpstr>
      <vt:lpstr>Stappen!Afdrukbereik</vt:lpstr>
      <vt:lpstr>Referentieproject!Afdruktitels</vt:lpstr>
      <vt:lpstr>Stappen!Afdruktitels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Jan Erik Huls</cp:lastModifiedBy>
  <cp:lastPrinted>2012-07-21T17:56:50Z</cp:lastPrinted>
  <dcterms:created xsi:type="dcterms:W3CDTF">2011-12-07T20:29:31Z</dcterms:created>
  <dcterms:modified xsi:type="dcterms:W3CDTF">2013-01-22T12:45:25Z</dcterms:modified>
</cp:coreProperties>
</file>